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1320" windowWidth="21945" windowHeight="7110"/>
  </bookViews>
  <sheets>
    <sheet name="Lisa 1" sheetId="1" r:id="rId1"/>
    <sheet name="Lisa 2" sheetId="5" r:id="rId2"/>
    <sheet name="Lisa 3" sheetId="6" r:id="rId3"/>
    <sheet name="Lisa 4" sheetId="14" r:id="rId4"/>
    <sheet name="Lisa 5" sheetId="9" r:id="rId5"/>
    <sheet name="Lisa 6" sheetId="12" r:id="rId6"/>
    <sheet name="lisa 7" sheetId="16" r:id="rId7"/>
    <sheet name="lisa 8 " sheetId="17" r:id="rId8"/>
    <sheet name="Lisa 9" sheetId="13" r:id="rId9"/>
    <sheet name="Lisa 10" sheetId="15" r:id="rId10"/>
  </sheets>
  <definedNames>
    <definedName name="_xlnm._FilterDatabase" localSheetId="0" hidden="1">'Lisa 1'!$A$2:$J$384</definedName>
    <definedName name="_xlnm._FilterDatabase" localSheetId="1" hidden="1">'Lisa 2'!$A$2:$J$133</definedName>
    <definedName name="_xlnm.Print_Titles" localSheetId="0">'Lisa 1'!$4:$5</definedName>
    <definedName name="_xlnm.Print_Titles" localSheetId="1">'Lisa 2'!$4:$5</definedName>
    <definedName name="_xlnm.Print_Titles" localSheetId="2">'Lisa 3'!$4:$5</definedName>
    <definedName name="_xlnm.Print_Titles" localSheetId="4">'Lisa 5'!$4:$6</definedName>
  </definedNames>
  <calcPr calcId="145621"/>
</workbook>
</file>

<file path=xl/calcChain.xml><?xml version="1.0" encoding="utf-8"?>
<calcChain xmlns="http://schemas.openxmlformats.org/spreadsheetml/2006/main">
  <c r="H14" i="17" l="1"/>
  <c r="E14" i="17"/>
  <c r="C14" i="17"/>
  <c r="B14" i="17"/>
  <c r="H13" i="17"/>
  <c r="E13" i="17"/>
  <c r="C13" i="17"/>
  <c r="B13" i="17"/>
  <c r="H12" i="17"/>
  <c r="E12" i="17"/>
  <c r="C12" i="17"/>
  <c r="B12" i="17"/>
  <c r="H11" i="17"/>
  <c r="E11" i="17"/>
  <c r="C11" i="17"/>
  <c r="B11" i="17"/>
  <c r="H10" i="17"/>
  <c r="E10" i="17"/>
  <c r="C10" i="17"/>
  <c r="B10" i="17"/>
  <c r="H9" i="17"/>
  <c r="E9" i="17"/>
  <c r="C9" i="17"/>
  <c r="B9" i="17"/>
  <c r="H8" i="17"/>
  <c r="H7" i="17" s="1"/>
  <c r="E8" i="17"/>
  <c r="C8" i="17"/>
  <c r="B8" i="17"/>
  <c r="N7" i="17"/>
  <c r="M7" i="17"/>
  <c r="L7" i="17"/>
  <c r="K7" i="17"/>
  <c r="J7" i="17"/>
  <c r="I7" i="17"/>
  <c r="G7" i="17"/>
  <c r="F7" i="17"/>
  <c r="E7" i="17"/>
  <c r="D7" i="17"/>
  <c r="C7" i="17"/>
  <c r="B7" i="17"/>
  <c r="AI26" i="16"/>
  <c r="AH26" i="16" s="1"/>
  <c r="AE26" i="16"/>
  <c r="AA26" i="16"/>
  <c r="W26" i="16"/>
  <c r="S26" i="16"/>
  <c r="K26" i="16"/>
  <c r="G26" i="16"/>
  <c r="F26" i="16" s="1"/>
  <c r="AH25" i="16"/>
  <c r="T25" i="16"/>
  <c r="O25" i="16"/>
  <c r="N25" i="16" s="1"/>
  <c r="I25" i="16"/>
  <c r="F25" i="16"/>
  <c r="E25" i="16" s="1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 s="1"/>
  <c r="S24" i="16"/>
  <c r="R24" i="16"/>
  <c r="Q24" i="16"/>
  <c r="O24" i="16" s="1"/>
  <c r="P24" i="16"/>
  <c r="M24" i="16"/>
  <c r="L24" i="16"/>
  <c r="K24" i="16"/>
  <c r="J24" i="16"/>
  <c r="I24" i="16" s="1"/>
  <c r="H24" i="16"/>
  <c r="G24" i="16"/>
  <c r="F24" i="16"/>
  <c r="AH23" i="16"/>
  <c r="T23" i="16"/>
  <c r="O23" i="16"/>
  <c r="N23" i="16" s="1"/>
  <c r="I23" i="16"/>
  <c r="F23" i="16"/>
  <c r="E23" i="16"/>
  <c r="AH22" i="16"/>
  <c r="T22" i="16"/>
  <c r="O22" i="16"/>
  <c r="N22" i="16"/>
  <c r="I22" i="16"/>
  <c r="E22" i="16" s="1"/>
  <c r="F22" i="16"/>
  <c r="AH21" i="16"/>
  <c r="T21" i="16"/>
  <c r="N21" i="16" s="1"/>
  <c r="O21" i="16"/>
  <c r="I21" i="16"/>
  <c r="F21" i="16"/>
  <c r="E21" i="16" s="1"/>
  <c r="AH20" i="16"/>
  <c r="T20" i="16"/>
  <c r="O20" i="16"/>
  <c r="N20" i="16" s="1"/>
  <c r="I20" i="16"/>
  <c r="F20" i="16"/>
  <c r="E20" i="16" s="1"/>
  <c r="AH19" i="16"/>
  <c r="T19" i="16"/>
  <c r="O19" i="16"/>
  <c r="N19" i="16" s="1"/>
  <c r="I19" i="16"/>
  <c r="F19" i="16"/>
  <c r="E19" i="16"/>
  <c r="AH18" i="16"/>
  <c r="T18" i="16"/>
  <c r="O18" i="16"/>
  <c r="N18" i="16"/>
  <c r="I18" i="16"/>
  <c r="E18" i="16" s="1"/>
  <c r="F18" i="16"/>
  <c r="AH17" i="16"/>
  <c r="T17" i="16"/>
  <c r="N17" i="16" s="1"/>
  <c r="O17" i="16"/>
  <c r="I17" i="16"/>
  <c r="F17" i="16"/>
  <c r="E17" i="16" s="1"/>
  <c r="AH16" i="16"/>
  <c r="T16" i="16"/>
  <c r="O16" i="16"/>
  <c r="N16" i="16" s="1"/>
  <c r="I16" i="16"/>
  <c r="F16" i="16"/>
  <c r="E16" i="16" s="1"/>
  <c r="AH15" i="16"/>
  <c r="T15" i="16"/>
  <c r="O15" i="16"/>
  <c r="N15" i="16" s="1"/>
  <c r="I15" i="16"/>
  <c r="F15" i="16"/>
  <c r="E15" i="16"/>
  <c r="AH14" i="16"/>
  <c r="T14" i="16"/>
  <c r="O14" i="16"/>
  <c r="N14" i="16"/>
  <c r="I14" i="16"/>
  <c r="E14" i="16" s="1"/>
  <c r="F14" i="16"/>
  <c r="AH13" i="16"/>
  <c r="T13" i="16"/>
  <c r="N13" i="16" s="1"/>
  <c r="O13" i="16"/>
  <c r="I13" i="16"/>
  <c r="F13" i="16"/>
  <c r="E13" i="16" s="1"/>
  <c r="AH12" i="16"/>
  <c r="T12" i="16"/>
  <c r="O12" i="16"/>
  <c r="N12" i="16" s="1"/>
  <c r="I12" i="16"/>
  <c r="F12" i="16"/>
  <c r="E12" i="16" s="1"/>
  <c r="AH11" i="16"/>
  <c r="T11" i="16"/>
  <c r="O11" i="16"/>
  <c r="N11" i="16" s="1"/>
  <c r="I11" i="16"/>
  <c r="F11" i="16"/>
  <c r="E11" i="16"/>
  <c r="AH10" i="16"/>
  <c r="T10" i="16"/>
  <c r="O10" i="16"/>
  <c r="N10" i="16"/>
  <c r="I10" i="16"/>
  <c r="E10" i="16" s="1"/>
  <c r="F10" i="16"/>
  <c r="AH9" i="16"/>
  <c r="AH6" i="16" s="1"/>
  <c r="T9" i="16"/>
  <c r="N9" i="16" s="1"/>
  <c r="O9" i="16"/>
  <c r="I9" i="16"/>
  <c r="F9" i="16"/>
  <c r="E9" i="16" s="1"/>
  <c r="AH8" i="16"/>
  <c r="T8" i="16"/>
  <c r="T6" i="16" s="1"/>
  <c r="O8" i="16"/>
  <c r="N8" i="16" s="1"/>
  <c r="I8" i="16"/>
  <c r="F8" i="16"/>
  <c r="E8" i="16" s="1"/>
  <c r="AH7" i="16"/>
  <c r="T7" i="16"/>
  <c r="O7" i="16"/>
  <c r="N7" i="16" s="1"/>
  <c r="I7" i="16"/>
  <c r="F7" i="16"/>
  <c r="E7" i="16"/>
  <c r="AJ6" i="16"/>
  <c r="AJ26" i="16" s="1"/>
  <c r="AI6" i="16"/>
  <c r="AG6" i="16"/>
  <c r="AG26" i="16" s="1"/>
  <c r="AF6" i="16"/>
  <c r="AF26" i="16" s="1"/>
  <c r="AE6" i="16"/>
  <c r="AD6" i="16"/>
  <c r="AD26" i="16" s="1"/>
  <c r="AC6" i="16"/>
  <c r="AC26" i="16" s="1"/>
  <c r="AB6" i="16"/>
  <c r="AB26" i="16" s="1"/>
  <c r="AA6" i="16"/>
  <c r="Z6" i="16"/>
  <c r="Z26" i="16" s="1"/>
  <c r="Y6" i="16"/>
  <c r="Y26" i="16" s="1"/>
  <c r="X6" i="16"/>
  <c r="X26" i="16" s="1"/>
  <c r="W6" i="16"/>
  <c r="V6" i="16"/>
  <c r="V26" i="16" s="1"/>
  <c r="U6" i="16"/>
  <c r="U26" i="16" s="1"/>
  <c r="S6" i="16"/>
  <c r="R6" i="16"/>
  <c r="R26" i="16" s="1"/>
  <c r="Q6" i="16"/>
  <c r="Q26" i="16" s="1"/>
  <c r="P6" i="16"/>
  <c r="P26" i="16" s="1"/>
  <c r="O26" i="16" s="1"/>
  <c r="M6" i="16"/>
  <c r="M26" i="16" s="1"/>
  <c r="L6" i="16"/>
  <c r="L26" i="16" s="1"/>
  <c r="K6" i="16"/>
  <c r="J6" i="16"/>
  <c r="J26" i="16" s="1"/>
  <c r="I26" i="16" s="1"/>
  <c r="I6" i="16"/>
  <c r="H6" i="16"/>
  <c r="H26" i="16" s="1"/>
  <c r="G6" i="16"/>
  <c r="T26" i="16" l="1"/>
  <c r="N26" i="16" s="1"/>
  <c r="E24" i="16"/>
  <c r="N24" i="16"/>
  <c r="E26" i="16"/>
  <c r="F6" i="16"/>
  <c r="E6" i="16" s="1"/>
  <c r="O6" i="16"/>
  <c r="N6" i="16" s="1"/>
  <c r="D116" i="1" l="1"/>
  <c r="D117" i="1"/>
  <c r="E52" i="6"/>
  <c r="H53" i="6"/>
  <c r="F42" i="6"/>
  <c r="F40" i="6" s="1"/>
  <c r="E44" i="6"/>
  <c r="E43" i="6"/>
  <c r="E39" i="6"/>
  <c r="C39" i="6" s="1"/>
  <c r="E38" i="6"/>
  <c r="C38" i="6" s="1"/>
  <c r="E37" i="6"/>
  <c r="E36" i="6"/>
  <c r="C36" i="6" s="1"/>
  <c r="E35" i="6"/>
  <c r="C35" i="6" s="1"/>
  <c r="E34" i="6"/>
  <c r="E32" i="6"/>
  <c r="C32" i="6" s="1"/>
  <c r="E31" i="6"/>
  <c r="E30" i="6"/>
  <c r="E29" i="6"/>
  <c r="E28" i="6"/>
  <c r="E27" i="6"/>
  <c r="E26" i="6"/>
  <c r="C26" i="6" s="1"/>
  <c r="E24" i="6"/>
  <c r="E23" i="6"/>
  <c r="E22" i="6"/>
  <c r="C22" i="6" s="1"/>
  <c r="E21" i="6"/>
  <c r="E20" i="6"/>
  <c r="C20" i="6" s="1"/>
  <c r="E19" i="6"/>
  <c r="E18" i="6"/>
  <c r="C18" i="6" s="1"/>
  <c r="E17" i="6"/>
  <c r="C17" i="6"/>
  <c r="C19" i="6"/>
  <c r="C21" i="6"/>
  <c r="C23" i="6"/>
  <c r="C24" i="6"/>
  <c r="C25" i="6"/>
  <c r="C27" i="6"/>
  <c r="C28" i="6"/>
  <c r="C29" i="6"/>
  <c r="C30" i="6"/>
  <c r="C31" i="6"/>
  <c r="C33" i="6"/>
  <c r="C34" i="6"/>
  <c r="C37" i="6"/>
  <c r="C16" i="6"/>
  <c r="E16" i="6"/>
  <c r="F15" i="6"/>
  <c r="G12" i="6"/>
  <c r="G10" i="6"/>
  <c r="C10" i="6" s="1"/>
  <c r="C9" i="6"/>
  <c r="C11" i="6"/>
  <c r="C12" i="6"/>
  <c r="C13" i="6"/>
  <c r="C14" i="6"/>
  <c r="F7" i="6"/>
  <c r="F6" i="6" l="1"/>
  <c r="D60" i="9"/>
  <c r="D6" i="9" s="1"/>
  <c r="D61" i="9"/>
  <c r="E6" i="9"/>
  <c r="E7" i="9"/>
  <c r="F7" i="9"/>
  <c r="G7" i="9"/>
  <c r="F6" i="9"/>
  <c r="G6" i="9"/>
  <c r="F73" i="9"/>
  <c r="G73" i="9"/>
  <c r="H73" i="9"/>
  <c r="E73" i="9"/>
  <c r="D74" i="9"/>
  <c r="D69" i="9"/>
  <c r="D70" i="9"/>
  <c r="D71" i="9"/>
  <c r="D68" i="9"/>
  <c r="D64" i="9"/>
  <c r="D65" i="9"/>
  <c r="D66" i="9"/>
  <c r="D63" i="9"/>
  <c r="D58" i="9"/>
  <c r="D59" i="9"/>
  <c r="D49" i="9" l="1"/>
  <c r="D50" i="9"/>
  <c r="D51" i="9"/>
  <c r="D52" i="9"/>
  <c r="D44" i="9"/>
  <c r="D45" i="9"/>
  <c r="D46" i="9"/>
  <c r="D43" i="9"/>
  <c r="D41" i="9"/>
  <c r="D36" i="9"/>
  <c r="D37" i="9"/>
  <c r="D38" i="9"/>
  <c r="D33" i="9"/>
  <c r="D34" i="9"/>
  <c r="D28" i="9"/>
  <c r="D29" i="9"/>
  <c r="D13" i="9"/>
  <c r="D26" i="9"/>
  <c r="D27" i="9"/>
  <c r="D31" i="9"/>
  <c r="D32" i="9"/>
  <c r="D24" i="9"/>
  <c r="D25" i="9"/>
  <c r="D30" i="9"/>
  <c r="D23" i="9"/>
  <c r="D21" i="9"/>
  <c r="D19" i="9"/>
  <c r="D16" i="9"/>
  <c r="D17" i="9"/>
  <c r="D14" i="9" l="1"/>
  <c r="E6" i="12"/>
  <c r="D6" i="12"/>
  <c r="H7" i="5" l="1"/>
  <c r="H10" i="5"/>
  <c r="I30" i="5"/>
  <c r="E109" i="15" l="1"/>
  <c r="E99" i="15" s="1"/>
  <c r="E86" i="15"/>
  <c r="E76" i="15"/>
  <c r="E66" i="15"/>
  <c r="E65" i="15"/>
  <c r="E36" i="15" s="1"/>
  <c r="E33" i="15"/>
  <c r="E20" i="15"/>
  <c r="E11" i="15"/>
  <c r="E8" i="15"/>
  <c r="E6" i="15" l="1"/>
  <c r="I22" i="13"/>
  <c r="I21" i="13"/>
  <c r="I15" i="13"/>
  <c r="I14" i="13"/>
  <c r="F15" i="13"/>
  <c r="F14" i="13"/>
  <c r="I9" i="13" l="1"/>
  <c r="I8" i="13"/>
  <c r="I12" i="13"/>
  <c r="I11" i="13"/>
  <c r="F12" i="13"/>
  <c r="F11" i="13"/>
  <c r="D7" i="14"/>
  <c r="D8" i="14"/>
  <c r="D9" i="14"/>
  <c r="D10" i="14"/>
  <c r="D11" i="14"/>
  <c r="D12" i="14"/>
  <c r="D13" i="14"/>
  <c r="D14" i="14"/>
  <c r="D15" i="14"/>
  <c r="D6" i="14"/>
  <c r="F7" i="14"/>
  <c r="F8" i="14"/>
  <c r="F9" i="14"/>
  <c r="F10" i="14"/>
  <c r="F11" i="14"/>
  <c r="F12" i="14"/>
  <c r="F13" i="14"/>
  <c r="F14" i="14"/>
  <c r="F15" i="14"/>
  <c r="F6" i="14"/>
  <c r="K7" i="14"/>
  <c r="K8" i="14"/>
  <c r="K9" i="14"/>
  <c r="K10" i="14"/>
  <c r="K11" i="14"/>
  <c r="K12" i="14"/>
  <c r="K13" i="14"/>
  <c r="K14" i="14"/>
  <c r="K15" i="14"/>
  <c r="K6" i="14"/>
  <c r="N6" i="14"/>
  <c r="S6" i="14"/>
  <c r="M6" i="14" s="1"/>
  <c r="N7" i="14"/>
  <c r="M7" i="14" s="1"/>
  <c r="S7" i="14"/>
  <c r="N8" i="14"/>
  <c r="S8" i="14"/>
  <c r="E9" i="14"/>
  <c r="G9" i="14"/>
  <c r="H9" i="14"/>
  <c r="I9" i="14"/>
  <c r="J9" i="14"/>
  <c r="L9" i="14"/>
  <c r="O9" i="14"/>
  <c r="P9" i="14"/>
  <c r="Q9" i="14"/>
  <c r="R9" i="14"/>
  <c r="T9" i="14"/>
  <c r="U9" i="14"/>
  <c r="V9" i="14"/>
  <c r="W9" i="14"/>
  <c r="X9" i="14"/>
  <c r="Y9" i="14"/>
  <c r="Z9" i="14"/>
  <c r="AA9" i="14"/>
  <c r="AB9" i="14"/>
  <c r="AC9" i="14"/>
  <c r="AD9" i="14"/>
  <c r="AE9" i="14"/>
  <c r="N10" i="14"/>
  <c r="M10" i="14" s="1"/>
  <c r="S10" i="14"/>
  <c r="N11" i="14"/>
  <c r="S11" i="14"/>
  <c r="N12" i="14"/>
  <c r="S12" i="14"/>
  <c r="M12" i="14" s="1"/>
  <c r="E13" i="14"/>
  <c r="G13" i="14"/>
  <c r="H13" i="14"/>
  <c r="I13" i="14"/>
  <c r="J13" i="14"/>
  <c r="L13" i="14"/>
  <c r="O13" i="14"/>
  <c r="P13" i="14"/>
  <c r="Q13" i="14"/>
  <c r="R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N14" i="14"/>
  <c r="M14" i="14" s="1"/>
  <c r="S14" i="14"/>
  <c r="N15" i="14"/>
  <c r="S15" i="14"/>
  <c r="D10" i="5"/>
  <c r="M15" i="14" l="1"/>
  <c r="S13" i="14"/>
  <c r="N13" i="14"/>
  <c r="M13" i="14" s="1"/>
  <c r="M11" i="14"/>
  <c r="S9" i="14"/>
  <c r="N9" i="14"/>
  <c r="M9" i="14" s="1"/>
  <c r="M8" i="14"/>
  <c r="F88" i="5"/>
  <c r="F91" i="5"/>
  <c r="F92" i="5"/>
  <c r="F95" i="5"/>
  <c r="F96" i="5"/>
  <c r="F98" i="5"/>
  <c r="F100" i="5"/>
  <c r="F102" i="5"/>
  <c r="F103" i="5"/>
  <c r="F105" i="5"/>
  <c r="F108" i="5"/>
  <c r="F110" i="5"/>
  <c r="F112" i="5"/>
  <c r="F114" i="5"/>
  <c r="F116" i="5"/>
  <c r="F119" i="5"/>
  <c r="F123" i="5"/>
  <c r="F124" i="5"/>
  <c r="F127" i="5"/>
  <c r="F131" i="5"/>
  <c r="F133" i="5"/>
  <c r="I88" i="5"/>
  <c r="I91" i="5"/>
  <c r="I92" i="5"/>
  <c r="I95" i="5"/>
  <c r="I96" i="5"/>
  <c r="I98" i="5"/>
  <c r="I100" i="5"/>
  <c r="I102" i="5"/>
  <c r="I103" i="5"/>
  <c r="I105" i="5"/>
  <c r="I108" i="5"/>
  <c r="I110" i="5"/>
  <c r="I112" i="5"/>
  <c r="I114" i="5"/>
  <c r="I116" i="5"/>
  <c r="I119" i="5"/>
  <c r="I123" i="5"/>
  <c r="I124" i="5"/>
  <c r="I127" i="5"/>
  <c r="I131" i="5"/>
  <c r="I133" i="5"/>
  <c r="I85" i="5"/>
  <c r="I84" i="5" s="1"/>
  <c r="I83" i="5" s="1"/>
  <c r="F85" i="5"/>
  <c r="F84" i="5" s="1"/>
  <c r="F83" i="5" s="1"/>
  <c r="H84" i="5"/>
  <c r="H83" i="5" s="1"/>
  <c r="G84" i="5"/>
  <c r="G83" i="5" s="1"/>
  <c r="E84" i="5"/>
  <c r="E83" i="5" s="1"/>
  <c r="D84" i="5"/>
  <c r="D83" i="5" s="1"/>
  <c r="J103" i="5" l="1"/>
  <c r="J123" i="5"/>
  <c r="J114" i="5"/>
  <c r="J105" i="5"/>
  <c r="J133" i="5"/>
  <c r="J95" i="5"/>
  <c r="J85" i="5"/>
  <c r="J84" i="5" s="1"/>
  <c r="J83" i="5" s="1"/>
  <c r="J127" i="5"/>
  <c r="J131" i="5"/>
  <c r="J119" i="5"/>
  <c r="J110" i="5"/>
  <c r="J102" i="5"/>
  <c r="J98" i="5"/>
  <c r="J91" i="5"/>
  <c r="J124" i="5"/>
  <c r="J108" i="5"/>
  <c r="J100" i="5"/>
  <c r="J112" i="5"/>
  <c r="J96" i="5"/>
  <c r="J88" i="5"/>
  <c r="J116" i="5"/>
  <c r="J92" i="5"/>
  <c r="F81" i="5"/>
  <c r="J81" i="5" s="1"/>
  <c r="I60" i="5" l="1"/>
  <c r="F60" i="5"/>
  <c r="H59" i="5"/>
  <c r="G59" i="5"/>
  <c r="E59" i="5"/>
  <c r="D59" i="5"/>
  <c r="D54" i="5"/>
  <c r="H54" i="5"/>
  <c r="I56" i="5"/>
  <c r="F56" i="5"/>
  <c r="F55" i="5" s="1"/>
  <c r="H55" i="5"/>
  <c r="G55" i="5"/>
  <c r="E55" i="5"/>
  <c r="D55" i="5"/>
  <c r="F58" i="5"/>
  <c r="F62" i="5"/>
  <c r="F65" i="5"/>
  <c r="F67" i="5"/>
  <c r="F70" i="5"/>
  <c r="F72" i="5"/>
  <c r="F74" i="5"/>
  <c r="F77" i="5"/>
  <c r="F54" i="5"/>
  <c r="I58" i="5"/>
  <c r="I62" i="5"/>
  <c r="I65" i="5"/>
  <c r="I67" i="5"/>
  <c r="I70" i="5"/>
  <c r="I72" i="5"/>
  <c r="I74" i="5"/>
  <c r="I77" i="5"/>
  <c r="I54" i="5"/>
  <c r="F51" i="5"/>
  <c r="J51" i="5" s="1"/>
  <c r="I18" i="5"/>
  <c r="J18" i="5" s="1"/>
  <c r="I17" i="5"/>
  <c r="J17" i="5" s="1"/>
  <c r="F14" i="5"/>
  <c r="J14" i="5" s="1"/>
  <c r="F45" i="5"/>
  <c r="J45" i="5" s="1"/>
  <c r="F47" i="5"/>
  <c r="J47" i="5" s="1"/>
  <c r="F43" i="5"/>
  <c r="J43" i="5" s="1"/>
  <c r="F39" i="5"/>
  <c r="J39" i="5" s="1"/>
  <c r="F37" i="5"/>
  <c r="J37" i="5" s="1"/>
  <c r="F35" i="5"/>
  <c r="J35" i="5" s="1"/>
  <c r="F31" i="5"/>
  <c r="J31" i="5" s="1"/>
  <c r="F30" i="5"/>
  <c r="J30" i="5" s="1"/>
  <c r="F26" i="5"/>
  <c r="J26" i="5" s="1"/>
  <c r="F22" i="5"/>
  <c r="J22" i="5" s="1"/>
  <c r="E6" i="1"/>
  <c r="G6" i="1"/>
  <c r="H6" i="1"/>
  <c r="I6" i="1"/>
  <c r="F59" i="5" l="1"/>
  <c r="J60" i="5"/>
  <c r="J77" i="5"/>
  <c r="I59" i="5"/>
  <c r="J56" i="5"/>
  <c r="J55" i="5" s="1"/>
  <c r="I55" i="5"/>
  <c r="J59" i="5" l="1"/>
  <c r="J74" i="5"/>
  <c r="J72" i="5" l="1"/>
  <c r="J70" i="5" l="1"/>
  <c r="J67" i="5" l="1"/>
  <c r="J65" i="5" l="1"/>
  <c r="J62" i="5" l="1"/>
  <c r="J58" i="5" l="1"/>
  <c r="J54" i="5" l="1"/>
  <c r="I375" i="1" l="1"/>
  <c r="F375" i="1"/>
  <c r="I374" i="1"/>
  <c r="F374" i="1"/>
  <c r="I373" i="1"/>
  <c r="F373" i="1"/>
  <c r="H372" i="1"/>
  <c r="G372" i="1"/>
  <c r="E372" i="1"/>
  <c r="D372" i="1"/>
  <c r="H362" i="1"/>
  <c r="G362" i="1"/>
  <c r="E359" i="1"/>
  <c r="D359" i="1"/>
  <c r="I361" i="1"/>
  <c r="F361" i="1"/>
  <c r="F372" i="1" l="1"/>
  <c r="I372" i="1"/>
  <c r="J372" i="1" s="1"/>
  <c r="J375" i="1"/>
  <c r="J374" i="1"/>
  <c r="J373" i="1"/>
  <c r="J361" i="1"/>
  <c r="H342" i="1" l="1"/>
  <c r="G342" i="1"/>
  <c r="E342" i="1"/>
  <c r="D342" i="1"/>
  <c r="I343" i="1"/>
  <c r="F343" i="1"/>
  <c r="I338" i="1"/>
  <c r="F338" i="1"/>
  <c r="I337" i="1"/>
  <c r="F337" i="1"/>
  <c r="I336" i="1"/>
  <c r="F336" i="1"/>
  <c r="H335" i="1"/>
  <c r="G335" i="1"/>
  <c r="E335" i="1"/>
  <c r="D335" i="1"/>
  <c r="H290" i="1"/>
  <c r="G290" i="1"/>
  <c r="E290" i="1"/>
  <c r="D290" i="1"/>
  <c r="I292" i="1"/>
  <c r="F292" i="1"/>
  <c r="H282" i="1"/>
  <c r="G282" i="1"/>
  <c r="E282" i="1"/>
  <c r="D282" i="1"/>
  <c r="I285" i="1"/>
  <c r="F285" i="1"/>
  <c r="I264" i="1"/>
  <c r="H258" i="1"/>
  <c r="G258" i="1"/>
  <c r="E258" i="1"/>
  <c r="D258" i="1"/>
  <c r="I260" i="1"/>
  <c r="F260" i="1"/>
  <c r="I259" i="1"/>
  <c r="F259" i="1"/>
  <c r="F335" i="1" l="1"/>
  <c r="I335" i="1"/>
  <c r="J343" i="1"/>
  <c r="J285" i="1"/>
  <c r="J336" i="1"/>
  <c r="J338" i="1"/>
  <c r="J335" i="1"/>
  <c r="J337" i="1"/>
  <c r="J292" i="1"/>
  <c r="J260" i="1"/>
  <c r="J259" i="1"/>
  <c r="I224" i="1" l="1"/>
  <c r="F224" i="1"/>
  <c r="H223" i="1"/>
  <c r="G223" i="1"/>
  <c r="E223" i="1"/>
  <c r="D223" i="1"/>
  <c r="I219" i="1"/>
  <c r="E218" i="1"/>
  <c r="F219" i="1"/>
  <c r="D218" i="1"/>
  <c r="I223" i="1" l="1"/>
  <c r="F223" i="1"/>
  <c r="J224" i="1"/>
  <c r="J219" i="1"/>
  <c r="E58" i="6"/>
  <c r="G58" i="6"/>
  <c r="H58" i="6"/>
  <c r="D58" i="6"/>
  <c r="C59" i="6"/>
  <c r="C60" i="6"/>
  <c r="J223" i="1" l="1"/>
  <c r="E42" i="6"/>
  <c r="E40" i="6" s="1"/>
  <c r="G42" i="6"/>
  <c r="G40" i="6" s="1"/>
  <c r="H42" i="6"/>
  <c r="H40" i="6" s="1"/>
  <c r="D42" i="6"/>
  <c r="C43" i="6"/>
  <c r="C44" i="6"/>
  <c r="G7" i="6"/>
  <c r="H7" i="6"/>
  <c r="E15" i="6"/>
  <c r="E7" i="6" s="1"/>
  <c r="C15" i="6" l="1"/>
  <c r="D125" i="1" l="1"/>
  <c r="D39" i="1"/>
  <c r="F45" i="1"/>
  <c r="I45" i="1"/>
  <c r="H44" i="1"/>
  <c r="H43" i="1" s="1"/>
  <c r="G44" i="1"/>
  <c r="I44" i="1" s="1"/>
  <c r="E44" i="1"/>
  <c r="E43" i="1" s="1"/>
  <c r="J45" i="1" l="1"/>
  <c r="D44" i="1"/>
  <c r="F44" i="1" s="1"/>
  <c r="J44" i="1" s="1"/>
  <c r="G43" i="1"/>
  <c r="I43" i="1" s="1"/>
  <c r="D43" i="1" l="1"/>
  <c r="F43" i="1" l="1"/>
  <c r="J43" i="1" s="1"/>
  <c r="I194" i="1" l="1"/>
  <c r="F194" i="1"/>
  <c r="I157" i="1"/>
  <c r="F157" i="1"/>
  <c r="I156" i="1"/>
  <c r="F156" i="1"/>
  <c r="H155" i="1"/>
  <c r="G155" i="1"/>
  <c r="E155" i="1"/>
  <c r="D155" i="1"/>
  <c r="F155" i="1" l="1"/>
  <c r="I155" i="1"/>
  <c r="J157" i="1"/>
  <c r="J194" i="1"/>
  <c r="J156" i="1"/>
  <c r="G91" i="1"/>
  <c r="J155" i="1" l="1"/>
  <c r="E8" i="1"/>
  <c r="G8" i="1"/>
  <c r="H8" i="1"/>
  <c r="E9" i="1"/>
  <c r="G9" i="1"/>
  <c r="H9" i="1"/>
  <c r="E10" i="1"/>
  <c r="G10" i="1"/>
  <c r="H10" i="1"/>
  <c r="G11" i="1"/>
  <c r="G12" i="1"/>
  <c r="H12" i="1"/>
  <c r="D8" i="1"/>
  <c r="D9" i="1"/>
  <c r="D10" i="1"/>
  <c r="E7" i="1"/>
  <c r="G7" i="1"/>
  <c r="H7" i="1"/>
  <c r="D7" i="1"/>
  <c r="D6" i="1" l="1"/>
  <c r="F9" i="1"/>
  <c r="I11" i="1"/>
  <c r="F11" i="1"/>
  <c r="I10" i="1"/>
  <c r="I12" i="1"/>
  <c r="I8" i="1"/>
  <c r="I7" i="1"/>
  <c r="I9" i="1"/>
  <c r="F7" i="1"/>
  <c r="F12" i="1"/>
  <c r="F8" i="1"/>
  <c r="F10" i="1"/>
  <c r="F6" i="1" l="1"/>
  <c r="J10" i="1"/>
  <c r="J9" i="1"/>
  <c r="J7" i="1"/>
  <c r="J6" i="1" s="1"/>
  <c r="J12" i="1"/>
  <c r="J8" i="1"/>
  <c r="J11" i="1"/>
  <c r="I16" i="1" l="1"/>
  <c r="I17" i="1"/>
  <c r="I20" i="1"/>
  <c r="I21" i="1"/>
  <c r="I22" i="1"/>
  <c r="I24" i="1"/>
  <c r="I25" i="1"/>
  <c r="I28" i="1"/>
  <c r="I29" i="1"/>
  <c r="I30" i="1"/>
  <c r="I34" i="1"/>
  <c r="I35" i="1"/>
  <c r="I37" i="1"/>
  <c r="I38" i="1"/>
  <c r="I39" i="1"/>
  <c r="I42" i="1"/>
  <c r="I49" i="1"/>
  <c r="I50" i="1"/>
  <c r="I53" i="1"/>
  <c r="I55" i="1"/>
  <c r="I56" i="1"/>
  <c r="I57" i="1"/>
  <c r="I61" i="1"/>
  <c r="I62" i="1"/>
  <c r="I65" i="1"/>
  <c r="I66" i="1"/>
  <c r="I67" i="1"/>
  <c r="I69" i="1"/>
  <c r="I70" i="1"/>
  <c r="I71" i="1"/>
  <c r="I73" i="1"/>
  <c r="I75" i="1"/>
  <c r="I76" i="1"/>
  <c r="I77" i="1"/>
  <c r="I79" i="1"/>
  <c r="I80" i="1"/>
  <c r="I82" i="1"/>
  <c r="I84" i="1"/>
  <c r="I85" i="1"/>
  <c r="I86" i="1"/>
  <c r="I88" i="1"/>
  <c r="I89" i="1"/>
  <c r="I90" i="1"/>
  <c r="I92" i="1"/>
  <c r="I93" i="1"/>
  <c r="I95" i="1"/>
  <c r="I96" i="1"/>
  <c r="I97" i="1"/>
  <c r="I99" i="1"/>
  <c r="I103" i="1"/>
  <c r="I104" i="1"/>
  <c r="I107" i="1"/>
  <c r="I109" i="1"/>
  <c r="I111" i="1"/>
  <c r="I113" i="1"/>
  <c r="I115" i="1"/>
  <c r="I116" i="1"/>
  <c r="I117" i="1"/>
  <c r="I119" i="1"/>
  <c r="I120" i="1"/>
  <c r="I121" i="1"/>
  <c r="I123" i="1"/>
  <c r="I124" i="1"/>
  <c r="I125" i="1"/>
  <c r="I127" i="1"/>
  <c r="I128" i="1"/>
  <c r="I129" i="1"/>
  <c r="I131" i="1"/>
  <c r="I133" i="1"/>
  <c r="I135" i="1"/>
  <c r="I136" i="1"/>
  <c r="I137" i="1"/>
  <c r="I140" i="1"/>
  <c r="I142" i="1"/>
  <c r="I143" i="1"/>
  <c r="I144" i="1"/>
  <c r="I146" i="1"/>
  <c r="I147" i="1"/>
  <c r="I148" i="1"/>
  <c r="I152" i="1"/>
  <c r="I153" i="1"/>
  <c r="I154" i="1"/>
  <c r="I159" i="1"/>
  <c r="I160" i="1"/>
  <c r="I161" i="1"/>
  <c r="I164" i="1"/>
  <c r="I165" i="1"/>
  <c r="I166" i="1"/>
  <c r="I169" i="1"/>
  <c r="I171" i="1"/>
  <c r="I172" i="1"/>
  <c r="I175" i="1"/>
  <c r="I178" i="1"/>
  <c r="I181" i="1"/>
  <c r="I185" i="1"/>
  <c r="I186" i="1"/>
  <c r="I189" i="1"/>
  <c r="I190" i="1"/>
  <c r="I193" i="1"/>
  <c r="I195" i="1"/>
  <c r="I197" i="1"/>
  <c r="I198" i="1"/>
  <c r="I200" i="1"/>
  <c r="I201" i="1"/>
  <c r="I202" i="1"/>
  <c r="I205" i="1"/>
  <c r="I206" i="1"/>
  <c r="I208" i="1"/>
  <c r="I209" i="1"/>
  <c r="I211" i="1"/>
  <c r="I212" i="1"/>
  <c r="I214" i="1"/>
  <c r="I216" i="1"/>
  <c r="I217" i="1"/>
  <c r="I220" i="1"/>
  <c r="I221" i="1"/>
  <c r="I226" i="1"/>
  <c r="I227" i="1"/>
  <c r="I229" i="1"/>
  <c r="I231" i="1"/>
  <c r="I233" i="1"/>
  <c r="I234" i="1"/>
  <c r="I238" i="1"/>
  <c r="I239" i="1"/>
  <c r="I241" i="1"/>
  <c r="I242" i="1"/>
  <c r="I245" i="1"/>
  <c r="I246" i="1"/>
  <c r="I247" i="1"/>
  <c r="I249" i="1"/>
  <c r="I250" i="1"/>
  <c r="I254" i="1"/>
  <c r="I255" i="1"/>
  <c r="I256" i="1"/>
  <c r="I261" i="1"/>
  <c r="I263" i="1"/>
  <c r="I265" i="1"/>
  <c r="I268" i="1"/>
  <c r="I269" i="1"/>
  <c r="I270" i="1"/>
  <c r="I273" i="1"/>
  <c r="I276" i="1"/>
  <c r="I279" i="1"/>
  <c r="I283" i="1"/>
  <c r="I284" i="1"/>
  <c r="I287" i="1"/>
  <c r="I289" i="1"/>
  <c r="I291" i="1"/>
  <c r="I294" i="1"/>
  <c r="I297" i="1"/>
  <c r="I299" i="1"/>
  <c r="I302" i="1"/>
  <c r="I304" i="1"/>
  <c r="I306" i="1"/>
  <c r="I308" i="1"/>
  <c r="I310" i="1"/>
  <c r="I313" i="1"/>
  <c r="I316" i="1"/>
  <c r="I320" i="1"/>
  <c r="I321" i="1"/>
  <c r="I322" i="1"/>
  <c r="I325" i="1"/>
  <c r="I327" i="1"/>
  <c r="I328" i="1"/>
  <c r="I330" i="1"/>
  <c r="I332" i="1"/>
  <c r="I333" i="1"/>
  <c r="I334" i="1"/>
  <c r="I341" i="1"/>
  <c r="I344" i="1"/>
  <c r="I345" i="1"/>
  <c r="I347" i="1"/>
  <c r="I348" i="1"/>
  <c r="I350" i="1"/>
  <c r="I351" i="1"/>
  <c r="I353" i="1"/>
  <c r="I354" i="1"/>
  <c r="I355" i="1"/>
  <c r="I357" i="1"/>
  <c r="I358" i="1"/>
  <c r="I360" i="1"/>
  <c r="I363" i="1"/>
  <c r="I364" i="1"/>
  <c r="I365" i="1"/>
  <c r="I367" i="1"/>
  <c r="I368" i="1"/>
  <c r="I369" i="1"/>
  <c r="I371" i="1"/>
  <c r="I377" i="1"/>
  <c r="I378" i="1"/>
  <c r="I379" i="1"/>
  <c r="I383" i="1"/>
  <c r="I384" i="1"/>
  <c r="F16" i="1"/>
  <c r="F17" i="1"/>
  <c r="F20" i="1"/>
  <c r="F21" i="1"/>
  <c r="F22" i="1"/>
  <c r="F24" i="1"/>
  <c r="F25" i="1"/>
  <c r="F28" i="1"/>
  <c r="F29" i="1"/>
  <c r="F30" i="1"/>
  <c r="F34" i="1"/>
  <c r="F35" i="1"/>
  <c r="F37" i="1"/>
  <c r="F38" i="1"/>
  <c r="F39" i="1"/>
  <c r="F42" i="1"/>
  <c r="F49" i="1"/>
  <c r="F50" i="1"/>
  <c r="F53" i="1"/>
  <c r="F55" i="1"/>
  <c r="F56" i="1"/>
  <c r="F57" i="1"/>
  <c r="F61" i="1"/>
  <c r="F62" i="1"/>
  <c r="F65" i="1"/>
  <c r="F66" i="1"/>
  <c r="F67" i="1"/>
  <c r="F69" i="1"/>
  <c r="F70" i="1"/>
  <c r="F71" i="1"/>
  <c r="F73" i="1"/>
  <c r="F75" i="1"/>
  <c r="F76" i="1"/>
  <c r="F77" i="1"/>
  <c r="F79" i="1"/>
  <c r="F80" i="1"/>
  <c r="F82" i="1"/>
  <c r="F84" i="1"/>
  <c r="F85" i="1"/>
  <c r="F86" i="1"/>
  <c r="F88" i="1"/>
  <c r="F89" i="1"/>
  <c r="F90" i="1"/>
  <c r="F92" i="1"/>
  <c r="F93" i="1"/>
  <c r="F95" i="1"/>
  <c r="F96" i="1"/>
  <c r="F97" i="1"/>
  <c r="F99" i="1"/>
  <c r="F103" i="1"/>
  <c r="F104" i="1"/>
  <c r="F107" i="1"/>
  <c r="F109" i="1"/>
  <c r="F111" i="1"/>
  <c r="F113" i="1"/>
  <c r="F115" i="1"/>
  <c r="F116" i="1"/>
  <c r="F117" i="1"/>
  <c r="F119" i="1"/>
  <c r="F120" i="1"/>
  <c r="F121" i="1"/>
  <c r="F123" i="1"/>
  <c r="F124" i="1"/>
  <c r="F125" i="1"/>
  <c r="F127" i="1"/>
  <c r="F128" i="1"/>
  <c r="F129" i="1"/>
  <c r="F131" i="1"/>
  <c r="F133" i="1"/>
  <c r="F135" i="1"/>
  <c r="F136" i="1"/>
  <c r="F137" i="1"/>
  <c r="F140" i="1"/>
  <c r="F142" i="1"/>
  <c r="F143" i="1"/>
  <c r="F144" i="1"/>
  <c r="F146" i="1"/>
  <c r="F147" i="1"/>
  <c r="F148" i="1"/>
  <c r="F152" i="1"/>
  <c r="F153" i="1"/>
  <c r="F154" i="1"/>
  <c r="F159" i="1"/>
  <c r="F160" i="1"/>
  <c r="F161" i="1"/>
  <c r="F164" i="1"/>
  <c r="F165" i="1"/>
  <c r="F166" i="1"/>
  <c r="F169" i="1"/>
  <c r="F171" i="1"/>
  <c r="F172" i="1"/>
  <c r="F175" i="1"/>
  <c r="F178" i="1"/>
  <c r="F181" i="1"/>
  <c r="F185" i="1"/>
  <c r="F186" i="1"/>
  <c r="F189" i="1"/>
  <c r="F190" i="1"/>
  <c r="F193" i="1"/>
  <c r="F195" i="1"/>
  <c r="F197" i="1"/>
  <c r="F198" i="1"/>
  <c r="F200" i="1"/>
  <c r="F201" i="1"/>
  <c r="F202" i="1"/>
  <c r="F205" i="1"/>
  <c r="F206" i="1"/>
  <c r="F208" i="1"/>
  <c r="F209" i="1"/>
  <c r="F211" i="1"/>
  <c r="F212" i="1"/>
  <c r="F214" i="1"/>
  <c r="F216" i="1"/>
  <c r="F217" i="1"/>
  <c r="F220" i="1"/>
  <c r="F221" i="1"/>
  <c r="F226" i="1"/>
  <c r="F227" i="1"/>
  <c r="F229" i="1"/>
  <c r="F231" i="1"/>
  <c r="F233" i="1"/>
  <c r="F234" i="1"/>
  <c r="F238" i="1"/>
  <c r="F239" i="1"/>
  <c r="F241" i="1"/>
  <c r="F242" i="1"/>
  <c r="F245" i="1"/>
  <c r="F246" i="1"/>
  <c r="F247" i="1"/>
  <c r="F249" i="1"/>
  <c r="F250" i="1"/>
  <c r="F254" i="1"/>
  <c r="F255" i="1"/>
  <c r="F256" i="1"/>
  <c r="F261" i="1"/>
  <c r="F263" i="1"/>
  <c r="F264" i="1"/>
  <c r="F265" i="1"/>
  <c r="F268" i="1"/>
  <c r="F269" i="1"/>
  <c r="F270" i="1"/>
  <c r="F273" i="1"/>
  <c r="F276" i="1"/>
  <c r="F279" i="1"/>
  <c r="F283" i="1"/>
  <c r="F284" i="1"/>
  <c r="F287" i="1"/>
  <c r="F289" i="1"/>
  <c r="F291" i="1"/>
  <c r="F294" i="1"/>
  <c r="F297" i="1"/>
  <c r="F299" i="1"/>
  <c r="F302" i="1"/>
  <c r="F304" i="1"/>
  <c r="F306" i="1"/>
  <c r="F308" i="1"/>
  <c r="F310" i="1"/>
  <c r="F313" i="1"/>
  <c r="F316" i="1"/>
  <c r="F320" i="1"/>
  <c r="F321" i="1"/>
  <c r="F322" i="1"/>
  <c r="F325" i="1"/>
  <c r="F327" i="1"/>
  <c r="F328" i="1"/>
  <c r="F330" i="1"/>
  <c r="F332" i="1"/>
  <c r="F333" i="1"/>
  <c r="F334" i="1"/>
  <c r="F341" i="1"/>
  <c r="F344" i="1"/>
  <c r="F345" i="1"/>
  <c r="F347" i="1"/>
  <c r="F348" i="1"/>
  <c r="F350" i="1"/>
  <c r="F351" i="1"/>
  <c r="F353" i="1"/>
  <c r="F354" i="1"/>
  <c r="F355" i="1"/>
  <c r="F357" i="1"/>
  <c r="F358" i="1"/>
  <c r="F360" i="1"/>
  <c r="F363" i="1"/>
  <c r="F364" i="1"/>
  <c r="F365" i="1"/>
  <c r="F367" i="1"/>
  <c r="F368" i="1"/>
  <c r="F369" i="1"/>
  <c r="F371" i="1"/>
  <c r="F377" i="1"/>
  <c r="F378" i="1"/>
  <c r="F379" i="1"/>
  <c r="F383" i="1"/>
  <c r="F384" i="1"/>
  <c r="J384" i="1" s="1"/>
  <c r="J263" i="1" l="1"/>
  <c r="J231" i="1"/>
  <c r="J92" i="1"/>
  <c r="J86" i="1"/>
  <c r="J75" i="1"/>
  <c r="J37" i="1"/>
  <c r="J29" i="1"/>
  <c r="J22" i="1"/>
  <c r="J367" i="1"/>
  <c r="J354" i="1"/>
  <c r="J341" i="1"/>
  <c r="J334" i="1"/>
  <c r="J328" i="1"/>
  <c r="J351" i="1"/>
  <c r="J308" i="1"/>
  <c r="J299" i="1"/>
  <c r="J289" i="1"/>
  <c r="J279" i="1"/>
  <c r="J269" i="1"/>
  <c r="J306" i="1"/>
  <c r="J164" i="1"/>
  <c r="J154" i="1"/>
  <c r="J135" i="1"/>
  <c r="J103" i="1"/>
  <c r="J353" i="1"/>
  <c r="J344" i="1"/>
  <c r="J185" i="1"/>
  <c r="J165" i="1"/>
  <c r="J129" i="1"/>
  <c r="J119" i="1"/>
  <c r="J113" i="1"/>
  <c r="J21" i="1"/>
  <c r="J377" i="1"/>
  <c r="J360" i="1"/>
  <c r="J348" i="1"/>
  <c r="J216" i="1"/>
  <c r="J347" i="1"/>
  <c r="J327" i="1"/>
  <c r="J320" i="1"/>
  <c r="J297" i="1"/>
  <c r="J287" i="1"/>
  <c r="J261" i="1"/>
  <c r="J250" i="1"/>
  <c r="J238" i="1"/>
  <c r="J221" i="1"/>
  <c r="J214" i="1"/>
  <c r="J202" i="1"/>
  <c r="J197" i="1"/>
  <c r="J71" i="1"/>
  <c r="J66" i="1"/>
  <c r="J38" i="1"/>
  <c r="J17" i="1"/>
  <c r="J371" i="1"/>
  <c r="J365" i="1"/>
  <c r="J358" i="1"/>
  <c r="J268" i="1"/>
  <c r="J123" i="1"/>
  <c r="J379" i="1"/>
  <c r="J357" i="1"/>
  <c r="J220" i="1"/>
  <c r="J69" i="1"/>
  <c r="J124" i="1"/>
  <c r="J159" i="1"/>
  <c r="J35" i="1"/>
  <c r="J190" i="1"/>
  <c r="J93" i="1"/>
  <c r="J76" i="1"/>
  <c r="J30" i="1"/>
  <c r="J53" i="1"/>
  <c r="J20" i="1"/>
  <c r="J369" i="1"/>
  <c r="J242" i="1"/>
  <c r="J67" i="1"/>
  <c r="J34" i="1"/>
  <c r="J364" i="1"/>
  <c r="J189" i="1"/>
  <c r="J79" i="1"/>
  <c r="J325" i="1"/>
  <c r="J304" i="1"/>
  <c r="J265" i="1"/>
  <c r="J256" i="1"/>
  <c r="J249" i="1"/>
  <c r="J229" i="1"/>
  <c r="J169" i="1"/>
  <c r="J161" i="1"/>
  <c r="J153" i="1"/>
  <c r="J140" i="1"/>
  <c r="J121" i="1"/>
  <c r="J109" i="1"/>
  <c r="J378" i="1"/>
  <c r="J368" i="1"/>
  <c r="J363" i="1"/>
  <c r="J355" i="1"/>
  <c r="J350" i="1"/>
  <c r="J310" i="1"/>
  <c r="J283" i="1"/>
  <c r="J233" i="1"/>
  <c r="J211" i="1"/>
  <c r="J186" i="1"/>
  <c r="J175" i="1"/>
  <c r="J107" i="1"/>
  <c r="J99" i="1"/>
  <c r="J77" i="1"/>
  <c r="J321" i="1"/>
  <c r="J146" i="1"/>
  <c r="J95" i="1"/>
  <c r="J55" i="1"/>
  <c r="J28" i="1"/>
  <c r="J313" i="1"/>
  <c r="J24" i="1"/>
  <c r="J330" i="1"/>
  <c r="J322" i="1"/>
  <c r="J291" i="1"/>
  <c r="J270" i="1"/>
  <c r="J247" i="1"/>
  <c r="J241" i="1"/>
  <c r="J205" i="1"/>
  <c r="J200" i="1"/>
  <c r="J137" i="1"/>
  <c r="J125" i="1"/>
  <c r="J88" i="1"/>
  <c r="J25" i="1"/>
  <c r="J142" i="1"/>
  <c r="J16" i="1"/>
  <c r="J201" i="1"/>
  <c r="J206" i="1"/>
  <c r="J160" i="1"/>
  <c r="J82" i="1"/>
  <c r="J226" i="1"/>
  <c r="J172" i="1"/>
  <c r="J90" i="1"/>
  <c r="J70" i="1"/>
  <c r="J245" i="1"/>
  <c r="J181" i="1"/>
  <c r="J133" i="1"/>
  <c r="J117" i="1"/>
  <c r="J62" i="1"/>
  <c r="J50" i="1"/>
  <c r="J383" i="1"/>
  <c r="J333" i="1"/>
  <c r="J273" i="1"/>
  <c r="J255" i="1"/>
  <c r="J239" i="1"/>
  <c r="J217" i="1"/>
  <c r="J209" i="1"/>
  <c r="J195" i="1"/>
  <c r="J171" i="1"/>
  <c r="J152" i="1"/>
  <c r="J148" i="1"/>
  <c r="J144" i="1"/>
  <c r="J136" i="1"/>
  <c r="J128" i="1"/>
  <c r="J120" i="1"/>
  <c r="J116" i="1"/>
  <c r="J104" i="1"/>
  <c r="J97" i="1"/>
  <c r="J89" i="1"/>
  <c r="J85" i="1"/>
  <c r="J73" i="1"/>
  <c r="J65" i="1"/>
  <c r="J61" i="1"/>
  <c r="J57" i="1"/>
  <c r="J49" i="1"/>
  <c r="J345" i="1"/>
  <c r="J332" i="1"/>
  <c r="J316" i="1"/>
  <c r="J302" i="1"/>
  <c r="J294" i="1"/>
  <c r="J284" i="1"/>
  <c r="J276" i="1"/>
  <c r="J264" i="1"/>
  <c r="J254" i="1"/>
  <c r="J246" i="1"/>
  <c r="J234" i="1"/>
  <c r="J227" i="1"/>
  <c r="J212" i="1"/>
  <c r="J208" i="1"/>
  <c r="J198" i="1"/>
  <c r="J193" i="1"/>
  <c r="J178" i="1"/>
  <c r="J166" i="1"/>
  <c r="J147" i="1"/>
  <c r="J143" i="1"/>
  <c r="J131" i="1"/>
  <c r="J127" i="1"/>
  <c r="J115" i="1"/>
  <c r="J111" i="1"/>
  <c r="J96" i="1"/>
  <c r="J84" i="1"/>
  <c r="J80" i="1"/>
  <c r="J56" i="1"/>
  <c r="J42" i="1"/>
  <c r="J39" i="1"/>
  <c r="J15" i="13"/>
  <c r="J14" i="13"/>
  <c r="J12" i="13"/>
  <c r="J11" i="13"/>
  <c r="J9" i="13"/>
  <c r="D26" i="13"/>
  <c r="I31" i="13"/>
  <c r="I30" i="13" s="1"/>
  <c r="F31" i="13"/>
  <c r="F30" i="13" s="1"/>
  <c r="E30" i="13"/>
  <c r="G30" i="13"/>
  <c r="H30" i="13"/>
  <c r="D30" i="13"/>
  <c r="I29" i="13"/>
  <c r="I28" i="13"/>
  <c r="F29" i="13"/>
  <c r="F28" i="13"/>
  <c r="J28" i="13" s="1"/>
  <c r="E27" i="13"/>
  <c r="G27" i="13"/>
  <c r="G26" i="13" s="1"/>
  <c r="H27" i="13"/>
  <c r="D27" i="13"/>
  <c r="D23" i="13"/>
  <c r="F22" i="13"/>
  <c r="J22" i="13" s="1"/>
  <c r="F21" i="13"/>
  <c r="J21" i="13" s="1"/>
  <c r="I25" i="13"/>
  <c r="I24" i="13"/>
  <c r="F25" i="13"/>
  <c r="F24" i="13"/>
  <c r="J24" i="13" s="1"/>
  <c r="D20" i="13"/>
  <c r="E23" i="13"/>
  <c r="G23" i="13"/>
  <c r="H23" i="13"/>
  <c r="E16" i="13"/>
  <c r="G16" i="13"/>
  <c r="H16" i="13"/>
  <c r="D16" i="13"/>
  <c r="I17" i="13"/>
  <c r="I18" i="13"/>
  <c r="I13" i="13"/>
  <c r="F17" i="13"/>
  <c r="J17" i="13" s="1"/>
  <c r="F18" i="13"/>
  <c r="F60" i="9"/>
  <c r="G60" i="9"/>
  <c r="E60" i="9"/>
  <c r="J20" i="13" l="1"/>
  <c r="H26" i="13"/>
  <c r="J29" i="13"/>
  <c r="I27" i="13"/>
  <c r="I26" i="13" s="1"/>
  <c r="J31" i="13"/>
  <c r="J30" i="13" s="1"/>
  <c r="E26" i="13"/>
  <c r="J27" i="13"/>
  <c r="F27" i="13"/>
  <c r="F26" i="13" s="1"/>
  <c r="D19" i="13"/>
  <c r="F23" i="13"/>
  <c r="J25" i="13"/>
  <c r="J23" i="13" s="1"/>
  <c r="I23" i="13"/>
  <c r="I16" i="13"/>
  <c r="F16" i="13"/>
  <c r="J18" i="13"/>
  <c r="J19" i="13" l="1"/>
  <c r="J26" i="13"/>
  <c r="J16" i="13"/>
  <c r="D362" i="1" l="1"/>
  <c r="E362" i="1"/>
  <c r="I20" i="13"/>
  <c r="I19" i="13" s="1"/>
  <c r="H20" i="13"/>
  <c r="H19" i="13" s="1"/>
  <c r="G20" i="13"/>
  <c r="G19" i="13" s="1"/>
  <c r="F20" i="13"/>
  <c r="F19" i="13" s="1"/>
  <c r="E20" i="13"/>
  <c r="E19" i="13" s="1"/>
  <c r="F9" i="13"/>
  <c r="F8" i="13"/>
  <c r="J8" i="13" s="1"/>
  <c r="J7" i="13" s="1"/>
  <c r="H13" i="13"/>
  <c r="G13" i="13"/>
  <c r="F13" i="13"/>
  <c r="E13" i="13"/>
  <c r="D13" i="13"/>
  <c r="J10" i="13"/>
  <c r="I10" i="13"/>
  <c r="H10" i="13"/>
  <c r="G10" i="13"/>
  <c r="F10" i="13"/>
  <c r="E10" i="13"/>
  <c r="D10" i="13"/>
  <c r="I7" i="13"/>
  <c r="H7" i="13"/>
  <c r="H6" i="13" s="1"/>
  <c r="G7" i="13"/>
  <c r="E7" i="13"/>
  <c r="D7" i="13"/>
  <c r="C57" i="6"/>
  <c r="D72" i="9"/>
  <c r="D62" i="9"/>
  <c r="D6" i="13" l="1"/>
  <c r="F362" i="1"/>
  <c r="I6" i="13"/>
  <c r="E6" i="13"/>
  <c r="G6" i="13"/>
  <c r="F7" i="13"/>
  <c r="F6" i="13" s="1"/>
  <c r="J13" i="13"/>
  <c r="J6" i="13" s="1"/>
  <c r="E81" i="1" l="1"/>
  <c r="D81" i="1"/>
  <c r="F81" i="1" l="1"/>
  <c r="B38" i="12" l="1"/>
  <c r="E67" i="9"/>
  <c r="E62" i="9"/>
  <c r="G62" i="9"/>
  <c r="F62" i="9" l="1"/>
  <c r="H7" i="9" l="1"/>
  <c r="H6" i="9" s="1"/>
  <c r="D11" i="9"/>
  <c r="D20" i="9"/>
  <c r="D35" i="9"/>
  <c r="D47" i="9"/>
  <c r="D8" i="9" l="1"/>
  <c r="D53" i="9"/>
  <c r="D40" i="9"/>
  <c r="D15" i="9"/>
  <c r="D9" i="9"/>
  <c r="D48" i="9"/>
  <c r="D39" i="9"/>
  <c r="D22" i="9"/>
  <c r="D12" i="9"/>
  <c r="D54" i="9"/>
  <c r="D42" i="9"/>
  <c r="D18" i="9"/>
  <c r="D10" i="9"/>
  <c r="B37" i="12" l="1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C6" i="12"/>
  <c r="G79" i="9"/>
  <c r="E79" i="9"/>
  <c r="E75" i="9"/>
  <c r="F67" i="9"/>
  <c r="E56" i="9"/>
  <c r="D55" i="9"/>
  <c r="D7" i="9" s="1"/>
  <c r="G67" i="9" l="1"/>
  <c r="D73" i="9"/>
  <c r="D76" i="9"/>
  <c r="D78" i="9"/>
  <c r="D80" i="9"/>
  <c r="D79" i="9" s="1"/>
  <c r="D57" i="9"/>
  <c r="D77" i="9"/>
  <c r="G56" i="9"/>
  <c r="F56" i="9"/>
  <c r="G75" i="9"/>
  <c r="F75" i="9"/>
  <c r="F79" i="9"/>
  <c r="D67" i="9" l="1"/>
  <c r="B6" i="12"/>
  <c r="D75" i="9"/>
  <c r="D56" i="9"/>
  <c r="D40" i="6" l="1"/>
  <c r="C40" i="6" s="1"/>
  <c r="D7" i="6"/>
  <c r="D61" i="6" l="1"/>
  <c r="E61" i="6"/>
  <c r="G61" i="6"/>
  <c r="H61" i="6"/>
  <c r="C62" i="6"/>
  <c r="C63" i="6"/>
  <c r="C64" i="6"/>
  <c r="C61" i="6" l="1"/>
  <c r="D56" i="6"/>
  <c r="E56" i="6"/>
  <c r="G56" i="6"/>
  <c r="H56" i="6"/>
  <c r="C58" i="6"/>
  <c r="D51" i="6"/>
  <c r="E51" i="6"/>
  <c r="G51" i="6"/>
  <c r="H51" i="6"/>
  <c r="C52" i="6"/>
  <c r="C53" i="6"/>
  <c r="C54" i="6"/>
  <c r="C55" i="6"/>
  <c r="D48" i="6"/>
  <c r="E48" i="6"/>
  <c r="G48" i="6"/>
  <c r="H48" i="6"/>
  <c r="C45" i="6"/>
  <c r="C47" i="6"/>
  <c r="C49" i="6"/>
  <c r="C50" i="6"/>
  <c r="C41" i="6"/>
  <c r="C42" i="6"/>
  <c r="C8" i="6"/>
  <c r="C7" i="6" s="1"/>
  <c r="E106" i="1"/>
  <c r="E10" i="5"/>
  <c r="F10" i="5" s="1"/>
  <c r="G10" i="5"/>
  <c r="E9" i="5"/>
  <c r="F9" i="5"/>
  <c r="G9" i="5"/>
  <c r="H9" i="5"/>
  <c r="I9" i="5"/>
  <c r="J9" i="5"/>
  <c r="D9" i="5"/>
  <c r="E8" i="5"/>
  <c r="F8" i="5"/>
  <c r="G8" i="5"/>
  <c r="H8" i="5"/>
  <c r="I8" i="5"/>
  <c r="J8" i="5"/>
  <c r="D8" i="5"/>
  <c r="E7" i="5"/>
  <c r="F7" i="5"/>
  <c r="G7" i="5"/>
  <c r="I7" i="5"/>
  <c r="J7" i="5"/>
  <c r="D7" i="5"/>
  <c r="E132" i="5"/>
  <c r="G132" i="5"/>
  <c r="H132" i="5"/>
  <c r="D132" i="5"/>
  <c r="E130" i="5"/>
  <c r="G130" i="5"/>
  <c r="H130" i="5"/>
  <c r="D130" i="5"/>
  <c r="E126" i="5"/>
  <c r="E125" i="5" s="1"/>
  <c r="G126" i="5"/>
  <c r="H126" i="5"/>
  <c r="H125" i="5" s="1"/>
  <c r="D126" i="5"/>
  <c r="E122" i="5"/>
  <c r="E121" i="5" s="1"/>
  <c r="G122" i="5"/>
  <c r="H122" i="5"/>
  <c r="H121" i="5" s="1"/>
  <c r="D122" i="5"/>
  <c r="E118" i="5"/>
  <c r="E117" i="5" s="1"/>
  <c r="G118" i="5"/>
  <c r="G117" i="5" s="1"/>
  <c r="H118" i="5"/>
  <c r="D118" i="5"/>
  <c r="E115" i="5"/>
  <c r="G115" i="5"/>
  <c r="H115" i="5"/>
  <c r="D115" i="5"/>
  <c r="E113" i="5"/>
  <c r="G113" i="5"/>
  <c r="H113" i="5"/>
  <c r="D113" i="5"/>
  <c r="E111" i="5"/>
  <c r="G111" i="5"/>
  <c r="H111" i="5"/>
  <c r="D111" i="5"/>
  <c r="E109" i="5"/>
  <c r="G109" i="5"/>
  <c r="H109" i="5"/>
  <c r="D109" i="5"/>
  <c r="E107" i="5"/>
  <c r="G107" i="5"/>
  <c r="H107" i="5"/>
  <c r="I107" i="5" s="1"/>
  <c r="D107" i="5"/>
  <c r="E104" i="5"/>
  <c r="G104" i="5"/>
  <c r="H104" i="5"/>
  <c r="D104" i="5"/>
  <c r="E101" i="5"/>
  <c r="G101" i="5"/>
  <c r="H101" i="5"/>
  <c r="D101" i="5"/>
  <c r="E99" i="5"/>
  <c r="G99" i="5"/>
  <c r="H99" i="5"/>
  <c r="D99" i="5"/>
  <c r="E97" i="5"/>
  <c r="G97" i="5"/>
  <c r="H97" i="5"/>
  <c r="D97" i="5"/>
  <c r="E94" i="5"/>
  <c r="G94" i="5"/>
  <c r="H94" i="5"/>
  <c r="D94" i="5"/>
  <c r="E90" i="5"/>
  <c r="E89" i="5" s="1"/>
  <c r="G90" i="5"/>
  <c r="G89" i="5" s="1"/>
  <c r="H90" i="5"/>
  <c r="D90" i="5"/>
  <c r="E87" i="5"/>
  <c r="E86" i="5" s="1"/>
  <c r="G87" i="5"/>
  <c r="H87" i="5"/>
  <c r="H86" i="5" s="1"/>
  <c r="D87" i="5"/>
  <c r="E80" i="5"/>
  <c r="G80" i="5"/>
  <c r="G79" i="5" s="1"/>
  <c r="G78" i="5" s="1"/>
  <c r="H80" i="5"/>
  <c r="H79" i="5" s="1"/>
  <c r="H78" i="5" s="1"/>
  <c r="I80" i="5"/>
  <c r="D80" i="5"/>
  <c r="D79" i="5" s="1"/>
  <c r="D78" i="5" s="1"/>
  <c r="E76" i="5"/>
  <c r="G76" i="5"/>
  <c r="H76" i="5"/>
  <c r="H75" i="5" s="1"/>
  <c r="D76" i="5"/>
  <c r="D75" i="5" s="1"/>
  <c r="E73" i="5"/>
  <c r="G73" i="5"/>
  <c r="H73" i="5"/>
  <c r="D73" i="5"/>
  <c r="E71" i="5"/>
  <c r="G71" i="5"/>
  <c r="H71" i="5"/>
  <c r="D71" i="5"/>
  <c r="E69" i="5"/>
  <c r="G69" i="5"/>
  <c r="H69" i="5"/>
  <c r="D69" i="5"/>
  <c r="E66" i="5"/>
  <c r="G66" i="5"/>
  <c r="H66" i="5"/>
  <c r="D66" i="5"/>
  <c r="E64" i="5"/>
  <c r="G64" i="5"/>
  <c r="H64" i="5"/>
  <c r="D64" i="5"/>
  <c r="D63" i="5" s="1"/>
  <c r="E61" i="5"/>
  <c r="G61" i="5"/>
  <c r="H61" i="5"/>
  <c r="D61" i="5"/>
  <c r="E57" i="5"/>
  <c r="G57" i="5"/>
  <c r="H57" i="5"/>
  <c r="D57" i="5"/>
  <c r="E53" i="5"/>
  <c r="F53" i="5"/>
  <c r="G53" i="5"/>
  <c r="H53" i="5"/>
  <c r="I53" i="5"/>
  <c r="J53" i="5"/>
  <c r="D53" i="5"/>
  <c r="E50" i="5"/>
  <c r="E49" i="5" s="1"/>
  <c r="F50" i="5"/>
  <c r="F49" i="5" s="1"/>
  <c r="G50" i="5"/>
  <c r="G49" i="5" s="1"/>
  <c r="H50" i="5"/>
  <c r="H49" i="5" s="1"/>
  <c r="I50" i="5"/>
  <c r="I49" i="5" s="1"/>
  <c r="J50" i="5"/>
  <c r="J49" i="5" s="1"/>
  <c r="D50" i="5"/>
  <c r="D49" i="5" s="1"/>
  <c r="E46" i="5"/>
  <c r="F46" i="5"/>
  <c r="G46" i="5"/>
  <c r="H46" i="5"/>
  <c r="I46" i="5"/>
  <c r="J46" i="5"/>
  <c r="D46" i="5"/>
  <c r="E44" i="5"/>
  <c r="F44" i="5"/>
  <c r="G44" i="5"/>
  <c r="H44" i="5"/>
  <c r="I44" i="5"/>
  <c r="J44" i="5"/>
  <c r="D44" i="5"/>
  <c r="E42" i="5"/>
  <c r="F42" i="5"/>
  <c r="G42" i="5"/>
  <c r="H42" i="5"/>
  <c r="I42" i="5"/>
  <c r="J42" i="5"/>
  <c r="D42" i="5"/>
  <c r="E40" i="5"/>
  <c r="F40" i="5"/>
  <c r="G40" i="5"/>
  <c r="H40" i="5"/>
  <c r="I40" i="5"/>
  <c r="J40" i="5"/>
  <c r="D40" i="5"/>
  <c r="E38" i="5"/>
  <c r="F38" i="5"/>
  <c r="G38" i="5"/>
  <c r="H38" i="5"/>
  <c r="I38" i="5"/>
  <c r="J38" i="5"/>
  <c r="D38" i="5"/>
  <c r="E36" i="5"/>
  <c r="F36" i="5"/>
  <c r="G36" i="5"/>
  <c r="H36" i="5"/>
  <c r="I36" i="5"/>
  <c r="J36" i="5"/>
  <c r="D36" i="5"/>
  <c r="E34" i="5"/>
  <c r="F34" i="5"/>
  <c r="G34" i="5"/>
  <c r="H34" i="5"/>
  <c r="I34" i="5"/>
  <c r="J34" i="5"/>
  <c r="D34" i="5"/>
  <c r="E29" i="5"/>
  <c r="E27" i="5" s="1"/>
  <c r="F29" i="5"/>
  <c r="F28" i="5" s="1"/>
  <c r="F27" i="5" s="1"/>
  <c r="G29" i="5"/>
  <c r="G28" i="5" s="1"/>
  <c r="G27" i="5" s="1"/>
  <c r="H29" i="5"/>
  <c r="H28" i="5" s="1"/>
  <c r="H27" i="5" s="1"/>
  <c r="I29" i="5"/>
  <c r="I28" i="5" s="1"/>
  <c r="I27" i="5" s="1"/>
  <c r="J29" i="5"/>
  <c r="J28" i="5" s="1"/>
  <c r="J27" i="5" s="1"/>
  <c r="D29" i="5"/>
  <c r="D28" i="5" s="1"/>
  <c r="D27" i="5" s="1"/>
  <c r="E25" i="5"/>
  <c r="E24" i="5" s="1"/>
  <c r="E23" i="5" s="1"/>
  <c r="F25" i="5"/>
  <c r="F24" i="5" s="1"/>
  <c r="F23" i="5" s="1"/>
  <c r="G25" i="5"/>
  <c r="G24" i="5" s="1"/>
  <c r="G23" i="5" s="1"/>
  <c r="H25" i="5"/>
  <c r="H24" i="5" s="1"/>
  <c r="H23" i="5" s="1"/>
  <c r="I25" i="5"/>
  <c r="I24" i="5" s="1"/>
  <c r="I23" i="5" s="1"/>
  <c r="J25" i="5"/>
  <c r="J24" i="5" s="1"/>
  <c r="J23" i="5" s="1"/>
  <c r="D25" i="5"/>
  <c r="D24" i="5" s="1"/>
  <c r="D23" i="5" s="1"/>
  <c r="E21" i="5"/>
  <c r="E20" i="5" s="1"/>
  <c r="E19" i="5" s="1"/>
  <c r="F21" i="5"/>
  <c r="F20" i="5" s="1"/>
  <c r="F19" i="5" s="1"/>
  <c r="G21" i="5"/>
  <c r="G20" i="5" s="1"/>
  <c r="G19" i="5" s="1"/>
  <c r="H21" i="5"/>
  <c r="H20" i="5" s="1"/>
  <c r="H19" i="5" s="1"/>
  <c r="I21" i="5"/>
  <c r="I20" i="5" s="1"/>
  <c r="I19" i="5" s="1"/>
  <c r="J21" i="5"/>
  <c r="J20" i="5" s="1"/>
  <c r="J19" i="5" s="1"/>
  <c r="D21" i="5"/>
  <c r="D20" i="5" s="1"/>
  <c r="D19" i="5" s="1"/>
  <c r="E16" i="5"/>
  <c r="E15" i="5" s="1"/>
  <c r="F16" i="5"/>
  <c r="F15" i="5" s="1"/>
  <c r="G16" i="5"/>
  <c r="G15" i="5" s="1"/>
  <c r="H16" i="5"/>
  <c r="H15" i="5" s="1"/>
  <c r="I16" i="5"/>
  <c r="I15" i="5" s="1"/>
  <c r="J16" i="5"/>
  <c r="J15" i="5" s="1"/>
  <c r="D16" i="5"/>
  <c r="D15" i="5" s="1"/>
  <c r="E13" i="5"/>
  <c r="E12" i="5" s="1"/>
  <c r="F13" i="5"/>
  <c r="F12" i="5" s="1"/>
  <c r="G13" i="5"/>
  <c r="G12" i="5" s="1"/>
  <c r="H13" i="5"/>
  <c r="H12" i="5" s="1"/>
  <c r="I13" i="5"/>
  <c r="I12" i="5" s="1"/>
  <c r="J13" i="5"/>
  <c r="J12" i="5" s="1"/>
  <c r="D13" i="5"/>
  <c r="D12" i="5" s="1"/>
  <c r="I109" i="5" l="1"/>
  <c r="F126" i="5"/>
  <c r="F94" i="5"/>
  <c r="F97" i="5"/>
  <c r="F132" i="5"/>
  <c r="F57" i="5"/>
  <c r="F61" i="5"/>
  <c r="D52" i="5"/>
  <c r="G52" i="5"/>
  <c r="F99" i="5"/>
  <c r="F101" i="5"/>
  <c r="F104" i="5"/>
  <c r="F107" i="5"/>
  <c r="J107" i="5" s="1"/>
  <c r="F109" i="5"/>
  <c r="F111" i="5"/>
  <c r="F113" i="5"/>
  <c r="F115" i="5"/>
  <c r="D125" i="5"/>
  <c r="F125" i="5" s="1"/>
  <c r="G86" i="5"/>
  <c r="I87" i="5"/>
  <c r="I94" i="5"/>
  <c r="I97" i="5"/>
  <c r="I99" i="5"/>
  <c r="I111" i="5"/>
  <c r="I113" i="5"/>
  <c r="I115" i="5"/>
  <c r="G121" i="5"/>
  <c r="I121" i="5" s="1"/>
  <c r="I122" i="5"/>
  <c r="G125" i="5"/>
  <c r="I125" i="5" s="1"/>
  <c r="I126" i="5"/>
  <c r="J126" i="5" s="1"/>
  <c r="I132" i="5"/>
  <c r="I10" i="5"/>
  <c r="J10" i="5" s="1"/>
  <c r="I130" i="5"/>
  <c r="D129" i="5"/>
  <c r="F130" i="5"/>
  <c r="D121" i="5"/>
  <c r="F121" i="5" s="1"/>
  <c r="F122" i="5"/>
  <c r="H117" i="5"/>
  <c r="I117" i="5" s="1"/>
  <c r="I118" i="5"/>
  <c r="D117" i="5"/>
  <c r="F117" i="5" s="1"/>
  <c r="F118" i="5"/>
  <c r="I104" i="5"/>
  <c r="I101" i="5"/>
  <c r="H89" i="5"/>
  <c r="I89" i="5" s="1"/>
  <c r="I90" i="5"/>
  <c r="D89" i="5"/>
  <c r="F89" i="5" s="1"/>
  <c r="F90" i="5"/>
  <c r="D86" i="5"/>
  <c r="F87" i="5"/>
  <c r="E52" i="5"/>
  <c r="H52" i="5"/>
  <c r="I79" i="5"/>
  <c r="I78" i="5" s="1"/>
  <c r="E79" i="5"/>
  <c r="E78" i="5" s="1"/>
  <c r="F80" i="5"/>
  <c r="F79" i="5" s="1"/>
  <c r="F78" i="5" s="1"/>
  <c r="G106" i="5"/>
  <c r="G93" i="5"/>
  <c r="F64" i="5"/>
  <c r="F66" i="5"/>
  <c r="F69" i="5"/>
  <c r="F71" i="5"/>
  <c r="F73" i="5"/>
  <c r="I57" i="5"/>
  <c r="I61" i="5"/>
  <c r="G63" i="5"/>
  <c r="I64" i="5"/>
  <c r="J64" i="5" s="1"/>
  <c r="I66" i="5"/>
  <c r="J66" i="5" s="1"/>
  <c r="G68" i="5"/>
  <c r="I69" i="5"/>
  <c r="I71" i="5"/>
  <c r="I73" i="5"/>
  <c r="G75" i="5"/>
  <c r="I75" i="5" s="1"/>
  <c r="I76" i="5"/>
  <c r="E75" i="5"/>
  <c r="F75" i="5" s="1"/>
  <c r="F76" i="5"/>
  <c r="C56" i="6"/>
  <c r="H46" i="6"/>
  <c r="H6" i="6" s="1"/>
  <c r="G46" i="6"/>
  <c r="G6" i="6" s="1"/>
  <c r="E46" i="6"/>
  <c r="E6" i="6" s="1"/>
  <c r="D46" i="6"/>
  <c r="D6" i="6" s="1"/>
  <c r="C51" i="6"/>
  <c r="C48" i="6"/>
  <c r="G33" i="5"/>
  <c r="G32" i="5" s="1"/>
  <c r="G129" i="5"/>
  <c r="E63" i="5"/>
  <c r="F63" i="5" s="1"/>
  <c r="H120" i="5"/>
  <c r="H68" i="5"/>
  <c r="E129" i="5"/>
  <c r="E128" i="5" s="1"/>
  <c r="H129" i="5"/>
  <c r="H128" i="5" s="1"/>
  <c r="E120" i="5"/>
  <c r="D106" i="5"/>
  <c r="E106" i="5"/>
  <c r="H106" i="5"/>
  <c r="E93" i="5"/>
  <c r="H93" i="5"/>
  <c r="D93" i="5"/>
  <c r="E68" i="5"/>
  <c r="D68" i="5"/>
  <c r="H63" i="5"/>
  <c r="J33" i="5"/>
  <c r="J32" i="5" s="1"/>
  <c r="D33" i="5"/>
  <c r="D32" i="5" s="1"/>
  <c r="H33" i="5"/>
  <c r="H32" i="5" s="1"/>
  <c r="F33" i="5"/>
  <c r="F32" i="5" s="1"/>
  <c r="I33" i="5"/>
  <c r="I32" i="5" s="1"/>
  <c r="E33" i="5"/>
  <c r="E32" i="5" s="1"/>
  <c r="G11" i="5"/>
  <c r="J11" i="5"/>
  <c r="F11" i="5"/>
  <c r="I11" i="5"/>
  <c r="E11" i="5"/>
  <c r="H11" i="5"/>
  <c r="D11" i="5"/>
  <c r="E382" i="1"/>
  <c r="E381" i="1" s="1"/>
  <c r="E380" i="1" s="1"/>
  <c r="G382" i="1"/>
  <c r="H382" i="1"/>
  <c r="H381" i="1" s="1"/>
  <c r="H380" i="1" s="1"/>
  <c r="D382" i="1"/>
  <c r="E376" i="1"/>
  <c r="G376" i="1"/>
  <c r="H376" i="1"/>
  <c r="D376" i="1"/>
  <c r="E370" i="1"/>
  <c r="G370" i="1"/>
  <c r="H370" i="1"/>
  <c r="D370" i="1"/>
  <c r="E366" i="1"/>
  <c r="G366" i="1"/>
  <c r="H366" i="1"/>
  <c r="D366" i="1"/>
  <c r="G359" i="1"/>
  <c r="H359" i="1"/>
  <c r="E356" i="1"/>
  <c r="G356" i="1"/>
  <c r="H356" i="1"/>
  <c r="D356" i="1"/>
  <c r="E352" i="1"/>
  <c r="G352" i="1"/>
  <c r="H352" i="1"/>
  <c r="D352" i="1"/>
  <c r="E349" i="1"/>
  <c r="G349" i="1"/>
  <c r="H349" i="1"/>
  <c r="D349" i="1"/>
  <c r="E346" i="1"/>
  <c r="G346" i="1"/>
  <c r="H346" i="1"/>
  <c r="D346" i="1"/>
  <c r="E340" i="1"/>
  <c r="G340" i="1"/>
  <c r="H340" i="1"/>
  <c r="D340" i="1"/>
  <c r="D319" i="1"/>
  <c r="D331" i="1"/>
  <c r="E331" i="1"/>
  <c r="G331" i="1"/>
  <c r="H331" i="1"/>
  <c r="E329" i="1"/>
  <c r="G329" i="1"/>
  <c r="H329" i="1"/>
  <c r="D329" i="1"/>
  <c r="E326" i="1"/>
  <c r="G326" i="1"/>
  <c r="H326" i="1"/>
  <c r="D326" i="1"/>
  <c r="E324" i="1"/>
  <c r="G324" i="1"/>
  <c r="H324" i="1"/>
  <c r="D324" i="1"/>
  <c r="E319" i="1"/>
  <c r="E318" i="1" s="1"/>
  <c r="G319" i="1"/>
  <c r="H319" i="1"/>
  <c r="H318" i="1" s="1"/>
  <c r="E315" i="1"/>
  <c r="E314" i="1" s="1"/>
  <c r="G315" i="1"/>
  <c r="H315" i="1"/>
  <c r="H314" i="1" s="1"/>
  <c r="D315" i="1"/>
  <c r="E312" i="1"/>
  <c r="E311" i="1" s="1"/>
  <c r="G312" i="1"/>
  <c r="G311" i="1" s="1"/>
  <c r="H312" i="1"/>
  <c r="H311" i="1" s="1"/>
  <c r="D312" i="1"/>
  <c r="D311" i="1" s="1"/>
  <c r="E309" i="1"/>
  <c r="G309" i="1"/>
  <c r="H309" i="1"/>
  <c r="D309" i="1"/>
  <c r="E307" i="1"/>
  <c r="G307" i="1"/>
  <c r="H307" i="1"/>
  <c r="D307" i="1"/>
  <c r="E305" i="1"/>
  <c r="G305" i="1"/>
  <c r="H305" i="1"/>
  <c r="D305" i="1"/>
  <c r="E303" i="1"/>
  <c r="G303" i="1"/>
  <c r="H303" i="1"/>
  <c r="D303" i="1"/>
  <c r="E301" i="1"/>
  <c r="G301" i="1"/>
  <c r="H301" i="1"/>
  <c r="D301" i="1"/>
  <c r="E298" i="1"/>
  <c r="G298" i="1"/>
  <c r="H298" i="1"/>
  <c r="D298" i="1"/>
  <c r="E296" i="1"/>
  <c r="G296" i="1"/>
  <c r="H296" i="1"/>
  <c r="D296" i="1"/>
  <c r="E293" i="1"/>
  <c r="G293" i="1"/>
  <c r="H293" i="1"/>
  <c r="D293" i="1"/>
  <c r="E288" i="1"/>
  <c r="G288" i="1"/>
  <c r="H288" i="1"/>
  <c r="D288" i="1"/>
  <c r="E286" i="1"/>
  <c r="G286" i="1"/>
  <c r="H286" i="1"/>
  <c r="D286" i="1"/>
  <c r="E278" i="1"/>
  <c r="E277" i="1" s="1"/>
  <c r="G278" i="1"/>
  <c r="H278" i="1"/>
  <c r="H277" i="1" s="1"/>
  <c r="D278" i="1"/>
  <c r="E275" i="1"/>
  <c r="E274" i="1" s="1"/>
  <c r="G275" i="1"/>
  <c r="H275" i="1"/>
  <c r="H274" i="1" s="1"/>
  <c r="D275" i="1"/>
  <c r="E272" i="1"/>
  <c r="E271" i="1" s="1"/>
  <c r="G272" i="1"/>
  <c r="H272" i="1"/>
  <c r="H271" i="1" s="1"/>
  <c r="D272" i="1"/>
  <c r="E267" i="1"/>
  <c r="E266" i="1" s="1"/>
  <c r="G267" i="1"/>
  <c r="H267" i="1"/>
  <c r="H266" i="1" s="1"/>
  <c r="D267" i="1"/>
  <c r="E262" i="1"/>
  <c r="G262" i="1"/>
  <c r="H262" i="1"/>
  <c r="D262" i="1"/>
  <c r="E253" i="1"/>
  <c r="E252" i="1" s="1"/>
  <c r="G253" i="1"/>
  <c r="H253" i="1"/>
  <c r="H252" i="1" s="1"/>
  <c r="D253" i="1"/>
  <c r="D248" i="1"/>
  <c r="D244" i="1"/>
  <c r="E248" i="1"/>
  <c r="G248" i="1"/>
  <c r="H248" i="1"/>
  <c r="E244" i="1"/>
  <c r="G244" i="1"/>
  <c r="H244" i="1"/>
  <c r="E240" i="1"/>
  <c r="G240" i="1"/>
  <c r="H240" i="1"/>
  <c r="D240" i="1"/>
  <c r="E237" i="1"/>
  <c r="G237" i="1"/>
  <c r="H237" i="1"/>
  <c r="D237" i="1"/>
  <c r="E232" i="1"/>
  <c r="G232" i="1"/>
  <c r="H232" i="1"/>
  <c r="D232" i="1"/>
  <c r="E230" i="1"/>
  <c r="G230" i="1"/>
  <c r="H230" i="1"/>
  <c r="D230" i="1"/>
  <c r="E228" i="1"/>
  <c r="G228" i="1"/>
  <c r="H228" i="1"/>
  <c r="D228" i="1"/>
  <c r="E225" i="1"/>
  <c r="E222" i="1" s="1"/>
  <c r="G225" i="1"/>
  <c r="H225" i="1"/>
  <c r="D225" i="1"/>
  <c r="G218" i="1"/>
  <c r="H218" i="1"/>
  <c r="F218" i="1"/>
  <c r="E215" i="1"/>
  <c r="G215" i="1"/>
  <c r="H215" i="1"/>
  <c r="D215" i="1"/>
  <c r="E213" i="1"/>
  <c r="G213" i="1"/>
  <c r="H213" i="1"/>
  <c r="D213" i="1"/>
  <c r="E210" i="1"/>
  <c r="G210" i="1"/>
  <c r="H210" i="1"/>
  <c r="D210" i="1"/>
  <c r="E207" i="1"/>
  <c r="G207" i="1"/>
  <c r="H207" i="1"/>
  <c r="D207" i="1"/>
  <c r="E204" i="1"/>
  <c r="G204" i="1"/>
  <c r="H204" i="1"/>
  <c r="D204" i="1"/>
  <c r="E199" i="1"/>
  <c r="G199" i="1"/>
  <c r="H199" i="1"/>
  <c r="D199" i="1"/>
  <c r="E196" i="1"/>
  <c r="G196" i="1"/>
  <c r="H196" i="1"/>
  <c r="D196" i="1"/>
  <c r="D192" i="1"/>
  <c r="E192" i="1"/>
  <c r="G192" i="1"/>
  <c r="H192" i="1"/>
  <c r="E188" i="1"/>
  <c r="E187" i="1" s="1"/>
  <c r="G188" i="1"/>
  <c r="H188" i="1"/>
  <c r="H187" i="1" s="1"/>
  <c r="D188" i="1"/>
  <c r="D184" i="1"/>
  <c r="E184" i="1"/>
  <c r="E183" i="1" s="1"/>
  <c r="G184" i="1"/>
  <c r="H184" i="1"/>
  <c r="H183" i="1" s="1"/>
  <c r="E180" i="1"/>
  <c r="E179" i="1" s="1"/>
  <c r="G180" i="1"/>
  <c r="H180" i="1"/>
  <c r="H179" i="1" s="1"/>
  <c r="D180" i="1"/>
  <c r="E177" i="1"/>
  <c r="E176" i="1" s="1"/>
  <c r="G177" i="1"/>
  <c r="H177" i="1"/>
  <c r="H176" i="1" s="1"/>
  <c r="D177" i="1"/>
  <c r="E174" i="1"/>
  <c r="E173" i="1" s="1"/>
  <c r="G174" i="1"/>
  <c r="H174" i="1"/>
  <c r="H173" i="1" s="1"/>
  <c r="D174" i="1"/>
  <c r="E170" i="1"/>
  <c r="G170" i="1"/>
  <c r="H170" i="1"/>
  <c r="D170" i="1"/>
  <c r="E168" i="1"/>
  <c r="G168" i="1"/>
  <c r="H168" i="1"/>
  <c r="D168" i="1"/>
  <c r="E163" i="1"/>
  <c r="E162" i="1" s="1"/>
  <c r="G163" i="1"/>
  <c r="H163" i="1"/>
  <c r="H162" i="1" s="1"/>
  <c r="D163" i="1"/>
  <c r="E158" i="1"/>
  <c r="G158" i="1"/>
  <c r="H158" i="1"/>
  <c r="D158" i="1"/>
  <c r="E151" i="1"/>
  <c r="G151" i="1"/>
  <c r="G150" i="1" s="1"/>
  <c r="H151" i="1"/>
  <c r="H150" i="1" s="1"/>
  <c r="D151" i="1"/>
  <c r="D139" i="1"/>
  <c r="E145" i="1"/>
  <c r="G145" i="1"/>
  <c r="H145" i="1"/>
  <c r="D145" i="1"/>
  <c r="E141" i="1"/>
  <c r="G141" i="1"/>
  <c r="H141" i="1"/>
  <c r="D141" i="1"/>
  <c r="E139" i="1"/>
  <c r="G139" i="1"/>
  <c r="H139" i="1"/>
  <c r="E134" i="1"/>
  <c r="G134" i="1"/>
  <c r="H134" i="1"/>
  <c r="D134" i="1"/>
  <c r="E132" i="1"/>
  <c r="G132" i="1"/>
  <c r="H132" i="1"/>
  <c r="D132" i="1"/>
  <c r="E130" i="1"/>
  <c r="G130" i="1"/>
  <c r="H130" i="1"/>
  <c r="D130" i="1"/>
  <c r="E126" i="1"/>
  <c r="G126" i="1"/>
  <c r="H126" i="1"/>
  <c r="D126" i="1"/>
  <c r="E122" i="1"/>
  <c r="G122" i="1"/>
  <c r="H122" i="1"/>
  <c r="D122" i="1"/>
  <c r="E118" i="1"/>
  <c r="G118" i="1"/>
  <c r="H118" i="1"/>
  <c r="D118" i="1"/>
  <c r="E114" i="1"/>
  <c r="G114" i="1"/>
  <c r="H114" i="1"/>
  <c r="D114" i="1"/>
  <c r="E112" i="1"/>
  <c r="G112" i="1"/>
  <c r="H112" i="1"/>
  <c r="D112" i="1"/>
  <c r="E110" i="1"/>
  <c r="G110" i="1"/>
  <c r="H110" i="1"/>
  <c r="D110" i="1"/>
  <c r="E108" i="1"/>
  <c r="G108" i="1"/>
  <c r="H108" i="1"/>
  <c r="D108" i="1"/>
  <c r="G106" i="1"/>
  <c r="H106" i="1"/>
  <c r="D106" i="1"/>
  <c r="F106" i="1" s="1"/>
  <c r="E102" i="1"/>
  <c r="E101" i="1" s="1"/>
  <c r="G102" i="1"/>
  <c r="H102" i="1"/>
  <c r="H101" i="1" s="1"/>
  <c r="D102" i="1"/>
  <c r="E98" i="1"/>
  <c r="G98" i="1"/>
  <c r="H98" i="1"/>
  <c r="D98" i="1"/>
  <c r="E94" i="1"/>
  <c r="G94" i="1"/>
  <c r="H94" i="1"/>
  <c r="D94" i="1"/>
  <c r="E91" i="1"/>
  <c r="H91" i="1"/>
  <c r="I91" i="1" s="1"/>
  <c r="D91" i="1"/>
  <c r="E87" i="1"/>
  <c r="G87" i="1"/>
  <c r="H87" i="1"/>
  <c r="D87" i="1"/>
  <c r="E83" i="1"/>
  <c r="G83" i="1"/>
  <c r="H83" i="1"/>
  <c r="H81" i="1" s="1"/>
  <c r="D83" i="1"/>
  <c r="E78" i="1"/>
  <c r="G78" i="1"/>
  <c r="H78" i="1"/>
  <c r="D78" i="1"/>
  <c r="E74" i="1"/>
  <c r="G74" i="1"/>
  <c r="H74" i="1"/>
  <c r="D74" i="1"/>
  <c r="E72" i="1"/>
  <c r="G72" i="1"/>
  <c r="H72" i="1"/>
  <c r="D72" i="1"/>
  <c r="E68" i="1"/>
  <c r="G68" i="1"/>
  <c r="H68" i="1"/>
  <c r="D68" i="1"/>
  <c r="E64" i="1"/>
  <c r="G64" i="1"/>
  <c r="H64" i="1"/>
  <c r="D64" i="1"/>
  <c r="E60" i="1"/>
  <c r="E59" i="1" s="1"/>
  <c r="G60" i="1"/>
  <c r="H60" i="1"/>
  <c r="H59" i="1" s="1"/>
  <c r="D60" i="1"/>
  <c r="E48" i="1"/>
  <c r="E47" i="1" s="1"/>
  <c r="G48" i="1"/>
  <c r="H48" i="1"/>
  <c r="H47" i="1" s="1"/>
  <c r="D48" i="1"/>
  <c r="E52" i="1"/>
  <c r="G52" i="1"/>
  <c r="H52" i="1"/>
  <c r="D52" i="1"/>
  <c r="E54" i="1"/>
  <c r="G54" i="1"/>
  <c r="H54" i="1"/>
  <c r="D54" i="1"/>
  <c r="E33" i="1"/>
  <c r="G33" i="1"/>
  <c r="H33" i="1"/>
  <c r="D33" i="1"/>
  <c r="E36" i="1"/>
  <c r="G36" i="1"/>
  <c r="H36" i="1"/>
  <c r="D36" i="1"/>
  <c r="E41" i="1"/>
  <c r="E40" i="1" s="1"/>
  <c r="G41" i="1"/>
  <c r="H41" i="1"/>
  <c r="H40" i="1" s="1"/>
  <c r="D41" i="1"/>
  <c r="E27" i="1"/>
  <c r="E26" i="1" s="1"/>
  <c r="G27" i="1"/>
  <c r="H27" i="1"/>
  <c r="H26" i="1" s="1"/>
  <c r="D27" i="1"/>
  <c r="D15" i="1"/>
  <c r="E23" i="1"/>
  <c r="G23" i="1"/>
  <c r="H23" i="1"/>
  <c r="D23" i="1"/>
  <c r="E19" i="1"/>
  <c r="G19" i="1"/>
  <c r="H19" i="1"/>
  <c r="D19" i="1"/>
  <c r="E15" i="1"/>
  <c r="E14" i="1" s="1"/>
  <c r="G15" i="1"/>
  <c r="H15" i="1"/>
  <c r="H14" i="1" s="1"/>
  <c r="J104" i="5" l="1"/>
  <c r="F52" i="5"/>
  <c r="I52" i="5"/>
  <c r="J52" i="5" s="1"/>
  <c r="J121" i="5"/>
  <c r="I106" i="5"/>
  <c r="J109" i="5"/>
  <c r="J97" i="5"/>
  <c r="J99" i="5"/>
  <c r="E82" i="5"/>
  <c r="J61" i="5"/>
  <c r="J90" i="5"/>
  <c r="J101" i="5"/>
  <c r="J118" i="5"/>
  <c r="J122" i="5"/>
  <c r="J94" i="5"/>
  <c r="J57" i="5"/>
  <c r="J117" i="5"/>
  <c r="J87" i="5"/>
  <c r="J132" i="5"/>
  <c r="J111" i="5"/>
  <c r="H82" i="5"/>
  <c r="G120" i="5"/>
  <c r="I120" i="5" s="1"/>
  <c r="D120" i="5"/>
  <c r="F120" i="5" s="1"/>
  <c r="J120" i="5" s="1"/>
  <c r="F86" i="5"/>
  <c r="D82" i="5"/>
  <c r="F82" i="5" s="1"/>
  <c r="I86" i="5"/>
  <c r="G82" i="5"/>
  <c r="J113" i="5"/>
  <c r="J125" i="5"/>
  <c r="F106" i="5"/>
  <c r="J80" i="5"/>
  <c r="J79" i="5" s="1"/>
  <c r="J78" i="5" s="1"/>
  <c r="J130" i="5"/>
  <c r="J115" i="5"/>
  <c r="D128" i="5"/>
  <c r="F128" i="5" s="1"/>
  <c r="F129" i="5"/>
  <c r="G128" i="5"/>
  <c r="I128" i="5" s="1"/>
  <c r="I129" i="5"/>
  <c r="F93" i="5"/>
  <c r="I93" i="5"/>
  <c r="J89" i="5"/>
  <c r="F68" i="5"/>
  <c r="J73" i="5"/>
  <c r="J69" i="5"/>
  <c r="H48" i="5"/>
  <c r="J71" i="5"/>
  <c r="G48" i="5"/>
  <c r="J76" i="5"/>
  <c r="I63" i="5"/>
  <c r="J63" i="5" s="1"/>
  <c r="J75" i="5"/>
  <c r="I68" i="5"/>
  <c r="E150" i="1"/>
  <c r="E323" i="1"/>
  <c r="H339" i="1"/>
  <c r="D323" i="1"/>
  <c r="G323" i="1"/>
  <c r="D339" i="1"/>
  <c r="G339" i="1"/>
  <c r="E339" i="1"/>
  <c r="F110" i="1"/>
  <c r="F118" i="1"/>
  <c r="F126" i="1"/>
  <c r="F196" i="1"/>
  <c r="F215" i="1"/>
  <c r="F108" i="1"/>
  <c r="F112" i="1"/>
  <c r="F114" i="1"/>
  <c r="F122" i="1"/>
  <c r="F130" i="1"/>
  <c r="F132" i="1"/>
  <c r="F151" i="1"/>
  <c r="F168" i="1"/>
  <c r="F210" i="1"/>
  <c r="F213" i="1"/>
  <c r="H323" i="1"/>
  <c r="G191" i="1"/>
  <c r="E191" i="1"/>
  <c r="D222" i="1"/>
  <c r="H191" i="1"/>
  <c r="F225" i="1"/>
  <c r="F228" i="1"/>
  <c r="F230" i="1"/>
  <c r="F232" i="1"/>
  <c r="F237" i="1"/>
  <c r="F240" i="1"/>
  <c r="I248" i="1"/>
  <c r="F258" i="1"/>
  <c r="F262" i="1"/>
  <c r="F282" i="1"/>
  <c r="F286" i="1"/>
  <c r="F288" i="1"/>
  <c r="F290" i="1"/>
  <c r="F293" i="1"/>
  <c r="F296" i="1"/>
  <c r="F298" i="1"/>
  <c r="F301" i="1"/>
  <c r="F303" i="1"/>
  <c r="F305" i="1"/>
  <c r="F307" i="1"/>
  <c r="F309" i="1"/>
  <c r="F207" i="1"/>
  <c r="F204" i="1"/>
  <c r="F199" i="1"/>
  <c r="D191" i="1"/>
  <c r="F134" i="1"/>
  <c r="F170" i="1"/>
  <c r="F158" i="1"/>
  <c r="D150" i="1"/>
  <c r="F19" i="1"/>
  <c r="F23" i="1"/>
  <c r="F78" i="1"/>
  <c r="F83" i="1"/>
  <c r="F98" i="1"/>
  <c r="I139" i="1"/>
  <c r="I141" i="1"/>
  <c r="I145" i="1"/>
  <c r="I192" i="1"/>
  <c r="I244" i="1"/>
  <c r="I324" i="1"/>
  <c r="I326" i="1"/>
  <c r="I329" i="1"/>
  <c r="F340" i="1"/>
  <c r="F342" i="1"/>
  <c r="F346" i="1"/>
  <c r="F349" i="1"/>
  <c r="F352" i="1"/>
  <c r="F356" i="1"/>
  <c r="F359" i="1"/>
  <c r="I366" i="1"/>
  <c r="I370" i="1"/>
  <c r="I376" i="1"/>
  <c r="I36" i="1"/>
  <c r="I33" i="1"/>
  <c r="I52" i="1"/>
  <c r="I64" i="1"/>
  <c r="I68" i="1"/>
  <c r="I72" i="1"/>
  <c r="I78" i="1"/>
  <c r="I87" i="1"/>
  <c r="I94" i="1"/>
  <c r="I98" i="1"/>
  <c r="I106" i="1"/>
  <c r="J106" i="1" s="1"/>
  <c r="F141" i="1"/>
  <c r="F145" i="1"/>
  <c r="J145" i="1" s="1"/>
  <c r="F192" i="1"/>
  <c r="F324" i="1"/>
  <c r="F326" i="1"/>
  <c r="F329" i="1"/>
  <c r="I342" i="1"/>
  <c r="I346" i="1"/>
  <c r="I349" i="1"/>
  <c r="I352" i="1"/>
  <c r="I356" i="1"/>
  <c r="F94" i="1"/>
  <c r="F91" i="1"/>
  <c r="J91" i="1" s="1"/>
  <c r="F87" i="1"/>
  <c r="E63" i="1"/>
  <c r="E58" i="1" s="1"/>
  <c r="F36" i="1"/>
  <c r="F54" i="1"/>
  <c r="F68" i="1"/>
  <c r="H63" i="1"/>
  <c r="H58" i="1" s="1"/>
  <c r="F33" i="1"/>
  <c r="F52" i="1"/>
  <c r="F64" i="1"/>
  <c r="D63" i="1"/>
  <c r="F72" i="1"/>
  <c r="F366" i="1"/>
  <c r="I74" i="1"/>
  <c r="F74" i="1"/>
  <c r="F41" i="1"/>
  <c r="D40" i="1"/>
  <c r="I41" i="1"/>
  <c r="G40" i="1"/>
  <c r="I40" i="1" s="1"/>
  <c r="F370" i="1"/>
  <c r="I54" i="1"/>
  <c r="D59" i="1"/>
  <c r="F59" i="1" s="1"/>
  <c r="F60" i="1"/>
  <c r="G183" i="1"/>
  <c r="I183" i="1" s="1"/>
  <c r="I184" i="1"/>
  <c r="D14" i="1"/>
  <c r="F14" i="1" s="1"/>
  <c r="F15" i="1"/>
  <c r="D162" i="1"/>
  <c r="F162" i="1" s="1"/>
  <c r="F163" i="1"/>
  <c r="D173" i="1"/>
  <c r="F173" i="1" s="1"/>
  <c r="F174" i="1"/>
  <c r="D176" i="1"/>
  <c r="F176" i="1" s="1"/>
  <c r="F177" i="1"/>
  <c r="D179" i="1"/>
  <c r="F179" i="1" s="1"/>
  <c r="F180" i="1"/>
  <c r="D187" i="1"/>
  <c r="F187" i="1" s="1"/>
  <c r="F188" i="1"/>
  <c r="D252" i="1"/>
  <c r="F252" i="1" s="1"/>
  <c r="F253" i="1"/>
  <c r="D266" i="1"/>
  <c r="F266" i="1" s="1"/>
  <c r="F267" i="1"/>
  <c r="D271" i="1"/>
  <c r="F271" i="1" s="1"/>
  <c r="F272" i="1"/>
  <c r="D274" i="1"/>
  <c r="F274" i="1" s="1"/>
  <c r="F275" i="1"/>
  <c r="D277" i="1"/>
  <c r="F277" i="1" s="1"/>
  <c r="F278" i="1"/>
  <c r="F312" i="1"/>
  <c r="D314" i="1"/>
  <c r="F314" i="1" s="1"/>
  <c r="F315" i="1"/>
  <c r="I331" i="1"/>
  <c r="D47" i="1"/>
  <c r="F47" i="1" s="1"/>
  <c r="F48" i="1"/>
  <c r="G381" i="1"/>
  <c r="I382" i="1"/>
  <c r="G14" i="1"/>
  <c r="I14" i="1" s="1"/>
  <c r="I15" i="1"/>
  <c r="I19" i="1"/>
  <c r="I23" i="1"/>
  <c r="I108" i="1"/>
  <c r="I110" i="1"/>
  <c r="J110" i="1" s="1"/>
  <c r="I112" i="1"/>
  <c r="I114" i="1"/>
  <c r="I118" i="1"/>
  <c r="I122" i="1"/>
  <c r="J122" i="1" s="1"/>
  <c r="I126" i="1"/>
  <c r="I130" i="1"/>
  <c r="I132" i="1"/>
  <c r="I134" i="1"/>
  <c r="I151" i="1"/>
  <c r="I158" i="1"/>
  <c r="G162" i="1"/>
  <c r="I162" i="1" s="1"/>
  <c r="I163" i="1"/>
  <c r="I168" i="1"/>
  <c r="J168" i="1" s="1"/>
  <c r="I170" i="1"/>
  <c r="G173" i="1"/>
  <c r="I173" i="1" s="1"/>
  <c r="I174" i="1"/>
  <c r="G176" i="1"/>
  <c r="I176" i="1" s="1"/>
  <c r="I177" i="1"/>
  <c r="G179" i="1"/>
  <c r="I179" i="1" s="1"/>
  <c r="I180" i="1"/>
  <c r="G187" i="1"/>
  <c r="I187" i="1" s="1"/>
  <c r="I188" i="1"/>
  <c r="I196" i="1"/>
  <c r="I199" i="1"/>
  <c r="I204" i="1"/>
  <c r="I207" i="1"/>
  <c r="I210" i="1"/>
  <c r="I213" i="1"/>
  <c r="I215" i="1"/>
  <c r="J215" i="1" s="1"/>
  <c r="I218" i="1"/>
  <c r="J218" i="1" s="1"/>
  <c r="I225" i="1"/>
  <c r="I228" i="1"/>
  <c r="I230" i="1"/>
  <c r="I232" i="1"/>
  <c r="I237" i="1"/>
  <c r="I240" i="1"/>
  <c r="F244" i="1"/>
  <c r="G252" i="1"/>
  <c r="I252" i="1" s="1"/>
  <c r="I253" i="1"/>
  <c r="I258" i="1"/>
  <c r="I262" i="1"/>
  <c r="G266" i="1"/>
  <c r="I266" i="1" s="1"/>
  <c r="I267" i="1"/>
  <c r="G271" i="1"/>
  <c r="I271" i="1" s="1"/>
  <c r="I272" i="1"/>
  <c r="G274" i="1"/>
  <c r="I274" i="1" s="1"/>
  <c r="I275" i="1"/>
  <c r="G277" i="1"/>
  <c r="I277" i="1" s="1"/>
  <c r="I278" i="1"/>
  <c r="I282" i="1"/>
  <c r="I286" i="1"/>
  <c r="I288" i="1"/>
  <c r="I290" i="1"/>
  <c r="I293" i="1"/>
  <c r="I296" i="1"/>
  <c r="I298" i="1"/>
  <c r="I301" i="1"/>
  <c r="I303" i="1"/>
  <c r="I305" i="1"/>
  <c r="I307" i="1"/>
  <c r="I309" i="1"/>
  <c r="I312" i="1"/>
  <c r="G314" i="1"/>
  <c r="I314" i="1" s="1"/>
  <c r="I315" i="1"/>
  <c r="F331" i="1"/>
  <c r="I362" i="1"/>
  <c r="J362" i="1" s="1"/>
  <c r="D26" i="1"/>
  <c r="F26" i="1" s="1"/>
  <c r="F27" i="1"/>
  <c r="D101" i="1"/>
  <c r="F101" i="1" s="1"/>
  <c r="F102" i="1"/>
  <c r="G318" i="1"/>
  <c r="I318" i="1" s="1"/>
  <c r="I319" i="1"/>
  <c r="G26" i="1"/>
  <c r="I26" i="1" s="1"/>
  <c r="I27" i="1"/>
  <c r="G47" i="1"/>
  <c r="I47" i="1" s="1"/>
  <c r="I48" i="1"/>
  <c r="G59" i="1"/>
  <c r="I59" i="1" s="1"/>
  <c r="I60" i="1"/>
  <c r="G81" i="1"/>
  <c r="I81" i="1" s="1"/>
  <c r="J81" i="1" s="1"/>
  <c r="I83" i="1"/>
  <c r="G101" i="1"/>
  <c r="I101" i="1" s="1"/>
  <c r="I102" i="1"/>
  <c r="F139" i="1"/>
  <c r="D183" i="1"/>
  <c r="F183" i="1" s="1"/>
  <c r="F184" i="1"/>
  <c r="F248" i="1"/>
  <c r="D318" i="1"/>
  <c r="F319" i="1"/>
  <c r="I340" i="1"/>
  <c r="I359" i="1"/>
  <c r="F376" i="1"/>
  <c r="D381" i="1"/>
  <c r="F382" i="1"/>
  <c r="C46" i="6"/>
  <c r="C6" i="6" s="1"/>
  <c r="G300" i="1"/>
  <c r="D48" i="5"/>
  <c r="E48" i="5"/>
  <c r="H167" i="1"/>
  <c r="E18" i="1"/>
  <c r="E13" i="1" s="1"/>
  <c r="E32" i="1"/>
  <c r="H51" i="1"/>
  <c r="H46" i="1" s="1"/>
  <c r="E257" i="1"/>
  <c r="E251" i="1" s="1"/>
  <c r="H236" i="1"/>
  <c r="D257" i="1"/>
  <c r="H32" i="1"/>
  <c r="D32" i="1"/>
  <c r="G32" i="1"/>
  <c r="H138" i="1"/>
  <c r="D138" i="1"/>
  <c r="E243" i="1"/>
  <c r="D281" i="1"/>
  <c r="E51" i="1"/>
  <c r="E46" i="1" s="1"/>
  <c r="E138" i="1"/>
  <c r="G167" i="1"/>
  <c r="D236" i="1"/>
  <c r="G236" i="1"/>
  <c r="E295" i="1"/>
  <c r="H18" i="1"/>
  <c r="H13" i="1" s="1"/>
  <c r="D18" i="1"/>
  <c r="G18" i="1"/>
  <c r="D51" i="1"/>
  <c r="G51" i="1"/>
  <c r="G138" i="1"/>
  <c r="E167" i="1"/>
  <c r="D243" i="1"/>
  <c r="D295" i="1"/>
  <c r="D167" i="1"/>
  <c r="G203" i="1"/>
  <c r="G257" i="1"/>
  <c r="H257" i="1"/>
  <c r="H251" i="1" s="1"/>
  <c r="G222" i="1"/>
  <c r="E281" i="1"/>
  <c r="G105" i="1"/>
  <c r="E300" i="1"/>
  <c r="H300" i="1"/>
  <c r="D300" i="1"/>
  <c r="H295" i="1"/>
  <c r="G295" i="1"/>
  <c r="G281" i="1"/>
  <c r="H281" i="1"/>
  <c r="H243" i="1"/>
  <c r="G243" i="1"/>
  <c r="E236" i="1"/>
  <c r="H222" i="1"/>
  <c r="E203" i="1"/>
  <c r="D203" i="1"/>
  <c r="H203" i="1"/>
  <c r="E105" i="1"/>
  <c r="H105" i="1"/>
  <c r="D105" i="1"/>
  <c r="F48" i="5" l="1"/>
  <c r="J106" i="5"/>
  <c r="E6" i="5"/>
  <c r="G6" i="5"/>
  <c r="I82" i="5"/>
  <c r="J82" i="5" s="1"/>
  <c r="J86" i="5"/>
  <c r="J129" i="5"/>
  <c r="J128" i="5"/>
  <c r="J93" i="5"/>
  <c r="H6" i="5"/>
  <c r="D6" i="5"/>
  <c r="J68" i="5"/>
  <c r="J48" i="5" s="1"/>
  <c r="F6" i="5"/>
  <c r="I48" i="5"/>
  <c r="J114" i="1"/>
  <c r="E317" i="1"/>
  <c r="J132" i="1"/>
  <c r="J237" i="1"/>
  <c r="J225" i="1"/>
  <c r="J210" i="1"/>
  <c r="J118" i="1"/>
  <c r="J108" i="1"/>
  <c r="J130" i="1"/>
  <c r="J126" i="1"/>
  <c r="J112" i="1"/>
  <c r="J151" i="1"/>
  <c r="J213" i="1"/>
  <c r="J196" i="1"/>
  <c r="J307" i="1"/>
  <c r="J298" i="1"/>
  <c r="J258" i="1"/>
  <c r="J199" i="1"/>
  <c r="J340" i="1"/>
  <c r="J232" i="1"/>
  <c r="J52" i="1"/>
  <c r="J207" i="1"/>
  <c r="D31" i="1"/>
  <c r="J309" i="1"/>
  <c r="J301" i="1"/>
  <c r="J262" i="1"/>
  <c r="J240" i="1"/>
  <c r="J228" i="1"/>
  <c r="J352" i="1"/>
  <c r="J290" i="1"/>
  <c r="J288" i="1"/>
  <c r="J244" i="1"/>
  <c r="J230" i="1"/>
  <c r="I236" i="1"/>
  <c r="J305" i="1"/>
  <c r="J296" i="1"/>
  <c r="J286" i="1"/>
  <c r="J248" i="1"/>
  <c r="J303" i="1"/>
  <c r="J293" i="1"/>
  <c r="J282" i="1"/>
  <c r="F339" i="1"/>
  <c r="J170" i="1"/>
  <c r="J204" i="1"/>
  <c r="J134" i="1"/>
  <c r="J370" i="1"/>
  <c r="J329" i="1"/>
  <c r="J68" i="1"/>
  <c r="J19" i="1"/>
  <c r="F167" i="1"/>
  <c r="J356" i="1"/>
  <c r="J366" i="1"/>
  <c r="J324" i="1"/>
  <c r="J141" i="1"/>
  <c r="J87" i="1"/>
  <c r="J158" i="1"/>
  <c r="J349" i="1"/>
  <c r="J326" i="1"/>
  <c r="J342" i="1"/>
  <c r="J359" i="1"/>
  <c r="J83" i="1"/>
  <c r="J23" i="1"/>
  <c r="J72" i="1"/>
  <c r="J139" i="1"/>
  <c r="J162" i="1"/>
  <c r="J64" i="1"/>
  <c r="J78" i="1"/>
  <c r="J192" i="1"/>
  <c r="J36" i="1"/>
  <c r="J94" i="1"/>
  <c r="J102" i="1"/>
  <c r="J98" i="1"/>
  <c r="J315" i="1"/>
  <c r="J253" i="1"/>
  <c r="J174" i="1"/>
  <c r="J15" i="1"/>
  <c r="J346" i="1"/>
  <c r="J376" i="1"/>
  <c r="J33" i="1"/>
  <c r="F203" i="1"/>
  <c r="I243" i="1"/>
  <c r="I295" i="1"/>
  <c r="I222" i="1"/>
  <c r="J272" i="1"/>
  <c r="J382" i="1"/>
  <c r="J277" i="1"/>
  <c r="J41" i="1"/>
  <c r="G63" i="1"/>
  <c r="J54" i="1"/>
  <c r="J74" i="1"/>
  <c r="I300" i="1"/>
  <c r="J176" i="1"/>
  <c r="F295" i="1"/>
  <c r="F32" i="1"/>
  <c r="J184" i="1"/>
  <c r="J275" i="1"/>
  <c r="J267" i="1"/>
  <c r="J163" i="1"/>
  <c r="J331" i="1"/>
  <c r="J312" i="1"/>
  <c r="F222" i="1"/>
  <c r="J188" i="1"/>
  <c r="F236" i="1"/>
  <c r="J59" i="1"/>
  <c r="J27" i="1"/>
  <c r="J14" i="1"/>
  <c r="I323" i="1"/>
  <c r="D251" i="1"/>
  <c r="F251" i="1" s="1"/>
  <c r="D46" i="1"/>
  <c r="F46" i="1" s="1"/>
  <c r="F51" i="1"/>
  <c r="D13" i="1"/>
  <c r="F13" i="1" s="1"/>
  <c r="F18" i="1"/>
  <c r="F138" i="1"/>
  <c r="F318" i="1"/>
  <c r="J318" i="1" s="1"/>
  <c r="D317" i="1"/>
  <c r="F317" i="1" s="1"/>
  <c r="J26" i="1"/>
  <c r="J179" i="1"/>
  <c r="J173" i="1"/>
  <c r="F300" i="1"/>
  <c r="G251" i="1"/>
  <c r="I251" i="1" s="1"/>
  <c r="I257" i="1"/>
  <c r="I150" i="1"/>
  <c r="F191" i="1"/>
  <c r="F323" i="1"/>
  <c r="I311" i="1"/>
  <c r="F150" i="1"/>
  <c r="G317" i="1"/>
  <c r="I339" i="1"/>
  <c r="J47" i="1"/>
  <c r="H317" i="1"/>
  <c r="J177" i="1"/>
  <c r="J274" i="1"/>
  <c r="J266" i="1"/>
  <c r="F105" i="1"/>
  <c r="I281" i="1"/>
  <c r="F311" i="1"/>
  <c r="I191" i="1"/>
  <c r="I203" i="1"/>
  <c r="F243" i="1"/>
  <c r="I138" i="1"/>
  <c r="I167" i="1"/>
  <c r="F281" i="1"/>
  <c r="I32" i="1"/>
  <c r="F257" i="1"/>
  <c r="F40" i="1"/>
  <c r="J40" i="1" s="1"/>
  <c r="D58" i="1"/>
  <c r="F58" i="1" s="1"/>
  <c r="F63" i="1"/>
  <c r="J60" i="1"/>
  <c r="J319" i="1"/>
  <c r="J271" i="1"/>
  <c r="J187" i="1"/>
  <c r="G380" i="1"/>
  <c r="I380" i="1" s="1"/>
  <c r="I381" i="1"/>
  <c r="J314" i="1"/>
  <c r="J278" i="1"/>
  <c r="J180" i="1"/>
  <c r="J183" i="1"/>
  <c r="G13" i="1"/>
  <c r="I13" i="1" s="1"/>
  <c r="I18" i="1"/>
  <c r="D380" i="1"/>
  <c r="F380" i="1" s="1"/>
  <c r="F381" i="1"/>
  <c r="J381" i="1" s="1"/>
  <c r="I105" i="1"/>
  <c r="J48" i="1"/>
  <c r="J252" i="1"/>
  <c r="G46" i="1"/>
  <c r="I46" i="1" s="1"/>
  <c r="I51" i="1"/>
  <c r="J101" i="1"/>
  <c r="J380" i="1"/>
  <c r="E31" i="1"/>
  <c r="D149" i="1"/>
  <c r="D100" i="1"/>
  <c r="H149" i="1"/>
  <c r="G149" i="1"/>
  <c r="E235" i="1"/>
  <c r="G31" i="1"/>
  <c r="E182" i="1"/>
  <c r="H235" i="1"/>
  <c r="H31" i="1"/>
  <c r="E149" i="1"/>
  <c r="D235" i="1"/>
  <c r="H100" i="1"/>
  <c r="G235" i="1"/>
  <c r="G100" i="1"/>
  <c r="E100" i="1"/>
  <c r="D182" i="1"/>
  <c r="D280" i="1"/>
  <c r="G182" i="1"/>
  <c r="E280" i="1"/>
  <c r="H280" i="1"/>
  <c r="G280" i="1"/>
  <c r="H182" i="1"/>
  <c r="I6" i="5" l="1"/>
  <c r="J6" i="5"/>
  <c r="J167" i="1"/>
  <c r="J339" i="1"/>
  <c r="J236" i="1"/>
  <c r="J222" i="1"/>
  <c r="J243" i="1"/>
  <c r="J295" i="1"/>
  <c r="I280" i="1"/>
  <c r="I235" i="1"/>
  <c r="J191" i="1"/>
  <c r="J18" i="1"/>
  <c r="J203" i="1"/>
  <c r="J51" i="1"/>
  <c r="I317" i="1"/>
  <c r="J317" i="1" s="1"/>
  <c r="J32" i="1"/>
  <c r="J257" i="1"/>
  <c r="I100" i="1"/>
  <c r="J300" i="1"/>
  <c r="F235" i="1"/>
  <c r="I31" i="1"/>
  <c r="F31" i="1"/>
  <c r="J281" i="1"/>
  <c r="J105" i="1"/>
  <c r="F280" i="1"/>
  <c r="F100" i="1"/>
  <c r="G58" i="1"/>
  <c r="I58" i="1" s="1"/>
  <c r="J58" i="1" s="1"/>
  <c r="I63" i="1"/>
  <c r="J63" i="1" s="1"/>
  <c r="J46" i="1"/>
  <c r="I182" i="1"/>
  <c r="F182" i="1"/>
  <c r="I149" i="1"/>
  <c r="F149" i="1"/>
  <c r="J138" i="1"/>
  <c r="J311" i="1"/>
  <c r="J150" i="1"/>
  <c r="J251" i="1"/>
  <c r="J13" i="1"/>
  <c r="J323" i="1"/>
  <c r="J280" i="1" l="1"/>
  <c r="J235" i="1"/>
  <c r="J149" i="1"/>
  <c r="J100" i="1"/>
  <c r="J31" i="1"/>
  <c r="J182" i="1"/>
</calcChain>
</file>

<file path=xl/comments1.xml><?xml version="1.0" encoding="utf-8"?>
<comments xmlns="http://schemas.openxmlformats.org/spreadsheetml/2006/main">
  <authors>
    <author xml:space="preserve"> Tiina Ligi</author>
  </authors>
  <commentList>
    <comment ref="E7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Tiina Ligi:</t>
        </r>
        <r>
          <rPr>
            <sz val="9"/>
            <color indexed="81"/>
            <rFont val="Tahoma"/>
            <family val="2"/>
            <charset val="186"/>
          </rPr>
          <t xml:space="preserve">
Rohevik</t>
        </r>
      </text>
    </comment>
  </commentList>
</comments>
</file>

<file path=xl/sharedStrings.xml><?xml version="1.0" encoding="utf-8"?>
<sst xmlns="http://schemas.openxmlformats.org/spreadsheetml/2006/main" count="1614" uniqueCount="553">
  <si>
    <t>ARHITEKTUURI JA EHITUSE OSAKOND</t>
  </si>
  <si>
    <t>01</t>
  </si>
  <si>
    <t>Üldised valitsussektori teenused</t>
  </si>
  <si>
    <t>01112</t>
  </si>
  <si>
    <t>50</t>
  </si>
  <si>
    <t>tööjõukulud</t>
  </si>
  <si>
    <t>55</t>
  </si>
  <si>
    <t>majandamiskulud</t>
  </si>
  <si>
    <t>60</t>
  </si>
  <si>
    <t>muud kulud</t>
  </si>
  <si>
    <t>04</t>
  </si>
  <si>
    <t>Majandus</t>
  </si>
  <si>
    <t>04740</t>
  </si>
  <si>
    <t>41</t>
  </si>
  <si>
    <t>45</t>
  </si>
  <si>
    <t>antavad toetused</t>
  </si>
  <si>
    <t>04900</t>
  </si>
  <si>
    <t>08</t>
  </si>
  <si>
    <t>Vabaaeg, kultuur</t>
  </si>
  <si>
    <t>08207</t>
  </si>
  <si>
    <t>AVALIKE SUHETE OSAKOND</t>
  </si>
  <si>
    <t>01600</t>
  </si>
  <si>
    <t>04512</t>
  </si>
  <si>
    <t>04540</t>
  </si>
  <si>
    <t>04730</t>
  </si>
  <si>
    <t>08109</t>
  </si>
  <si>
    <t>09</t>
  </si>
  <si>
    <t>Haridus</t>
  </si>
  <si>
    <t>09800</t>
  </si>
  <si>
    <t>ETTEVÕTLUSE OSAKOND</t>
  </si>
  <si>
    <t>HARIDUSOSAKOND</t>
  </si>
  <si>
    <t>09110</t>
  </si>
  <si>
    <t>09212</t>
  </si>
  <si>
    <t>09213</t>
  </si>
  <si>
    <t>15</t>
  </si>
  <si>
    <t>09500</t>
  </si>
  <si>
    <t>09600</t>
  </si>
  <si>
    <t>09601</t>
  </si>
  <si>
    <t>09602</t>
  </si>
  <si>
    <t>09609</t>
  </si>
  <si>
    <t>KULTUURIOSAKOND</t>
  </si>
  <si>
    <t>08102</t>
  </si>
  <si>
    <t>08103</t>
  </si>
  <si>
    <t>08107</t>
  </si>
  <si>
    <t>08201</t>
  </si>
  <si>
    <t>08202</t>
  </si>
  <si>
    <t>08203</t>
  </si>
  <si>
    <t>Muuseumid</t>
  </si>
  <si>
    <t>08234</t>
  </si>
  <si>
    <t>08300</t>
  </si>
  <si>
    <t>08600</t>
  </si>
  <si>
    <t>Laste muusika- ja kunstikoolid</t>
  </si>
  <si>
    <t>LINNAKANTSELEI</t>
  </si>
  <si>
    <t>03</t>
  </si>
  <si>
    <t>Avalik kord</t>
  </si>
  <si>
    <t>03600</t>
  </si>
  <si>
    <t>10</t>
  </si>
  <si>
    <t>Sotsiaalne kaitse</t>
  </si>
  <si>
    <t>10200</t>
  </si>
  <si>
    <t>LINNAMAJANDUSE OSAKOND</t>
  </si>
  <si>
    <t>04510</t>
  </si>
  <si>
    <t>05</t>
  </si>
  <si>
    <t>Keskkonnakaitse</t>
  </si>
  <si>
    <t>05100</t>
  </si>
  <si>
    <t>05101</t>
  </si>
  <si>
    <t>05200</t>
  </si>
  <si>
    <t>05400</t>
  </si>
  <si>
    <t>05600</t>
  </si>
  <si>
    <t>06</t>
  </si>
  <si>
    <t>Elamu- ja kommunaalmajandus</t>
  </si>
  <si>
    <t>06400</t>
  </si>
  <si>
    <t>06605</t>
  </si>
  <si>
    <t>LINNAPLANEERIMISE JA MAAKORRALDUSE OSAKOND</t>
  </si>
  <si>
    <t>01330</t>
  </si>
  <si>
    <t>04210</t>
  </si>
  <si>
    <t>LINNAVARADE OSAKOND</t>
  </si>
  <si>
    <t>06100</t>
  </si>
  <si>
    <t>RAHANDUSOSAKOND</t>
  </si>
  <si>
    <t>01114</t>
  </si>
  <si>
    <t>01310</t>
  </si>
  <si>
    <t>03100</t>
  </si>
  <si>
    <t>08211</t>
  </si>
  <si>
    <t>08236</t>
  </si>
  <si>
    <t>09400</t>
  </si>
  <si>
    <t>SOTSIAAL- JA TERVISHOIU OSAKOND</t>
  </si>
  <si>
    <t>07</t>
  </si>
  <si>
    <t>Tervishoid</t>
  </si>
  <si>
    <t>07120</t>
  </si>
  <si>
    <t>07210</t>
  </si>
  <si>
    <t>07340</t>
  </si>
  <si>
    <t>07400</t>
  </si>
  <si>
    <t>07600</t>
  </si>
  <si>
    <t>10120</t>
  </si>
  <si>
    <t>10121</t>
  </si>
  <si>
    <t>10201</t>
  </si>
  <si>
    <t>10400</t>
  </si>
  <si>
    <t>10402</t>
  </si>
  <si>
    <t>10700</t>
  </si>
  <si>
    <t>10701</t>
  </si>
  <si>
    <t>10900</t>
  </si>
  <si>
    <t>01111</t>
  </si>
  <si>
    <t>Finantseerimiseelarve (e/a 21)</t>
  </si>
  <si>
    <t>majandamiseelarve</t>
  </si>
  <si>
    <t>linn</t>
  </si>
  <si>
    <t>riik</t>
  </si>
  <si>
    <t>kokku</t>
  </si>
  <si>
    <t>kokku 2018</t>
  </si>
  <si>
    <t>omatulud 
(e/a 23)</t>
  </si>
  <si>
    <t>siht 
(e/a 25)</t>
  </si>
  <si>
    <t>valdkonna, tegevusala ja kululiigi nimetus</t>
  </si>
  <si>
    <t>klassifikaator</t>
  </si>
  <si>
    <t>VOLIKOGU</t>
  </si>
  <si>
    <t>LINNAVALITSUS</t>
  </si>
  <si>
    <t>ARHITEKTUUR</t>
  </si>
  <si>
    <t>MUU MAJANDUS</t>
  </si>
  <si>
    <t>MUINSUSKAITSE</t>
  </si>
  <si>
    <t>ÜHISTEGEVUS</t>
  </si>
  <si>
    <t>TRANSPORDIKORRALDUS</t>
  </si>
  <si>
    <t>TURISM</t>
  </si>
  <si>
    <t>ÜLDMAJANDUSLIKUD ARENDUSPROJEKTID</t>
  </si>
  <si>
    <t>VABA AJA ÜRITUSED</t>
  </si>
  <si>
    <t>MUU HARIDUS</t>
  </si>
  <si>
    <t>LASTEAIAD</t>
  </si>
  <si>
    <t>MUUD HARIDUSE ABITEENUSED</t>
  </si>
  <si>
    <t>KOOLITOIT</t>
  </si>
  <si>
    <t>KOOLITRANSPORT</t>
  </si>
  <si>
    <t>KUTSEÕPPE KAUDSED KULUD</t>
  </si>
  <si>
    <t>LASTE MUUSIKA- JA KUNSTIKOOLID</t>
  </si>
  <si>
    <t>SPORDIBAASID</t>
  </si>
  <si>
    <t>PUHKEPARGID</t>
  </si>
  <si>
    <t>RAHVA- JA KULTUURIMAJAD</t>
  </si>
  <si>
    <t>MUUSEUMID</t>
  </si>
  <si>
    <t>TEATRID</t>
  </si>
  <si>
    <t>KIRJASTUSED</t>
  </si>
  <si>
    <t>MUU VABAAEG JA KULTUUR</t>
  </si>
  <si>
    <t>TÄISKASVANUTE HUVIALAASUTUSED</t>
  </si>
  <si>
    <t>LASTE HUVIALAMAJAD JA -KESKUSED</t>
  </si>
  <si>
    <t>MUU AVALIK KORD</t>
  </si>
  <si>
    <t>PÄEVAKESKUSED</t>
  </si>
  <si>
    <t>LINNA TEED JA TÄNAVAD</t>
  </si>
  <si>
    <t>LIIKLUSKORRALDUS</t>
  </si>
  <si>
    <t>PRÜGIVEDU</t>
  </si>
  <si>
    <t>JÄÄTMEKÄITLUS</t>
  </si>
  <si>
    <t>TÄNAVATE PUHASTUS</t>
  </si>
  <si>
    <t>HEITVEEKÄITLUS</t>
  </si>
  <si>
    <t>HALJASTUS</t>
  </si>
  <si>
    <t>MUU KESKKONNAKAITSE</t>
  </si>
  <si>
    <t>TÄNAVAVALGUSTUS</t>
  </si>
  <si>
    <t>MUU ELAMU- JA KOMMUNAALMAJANDUS</t>
  </si>
  <si>
    <t>HULKUVATE LOOMADEGA SEOTUD KULUD</t>
  </si>
  <si>
    <t>KALMISTUD</t>
  </si>
  <si>
    <t>MUUD TEENUSED</t>
  </si>
  <si>
    <t>MAAKORRALDUS</t>
  </si>
  <si>
    <t>TERRITORIAALNE PLANEERIMINE</t>
  </si>
  <si>
    <t>ELAMUMAJANDUSE ARENDAMINE</t>
  </si>
  <si>
    <t>RESERVFOND</t>
  </si>
  <si>
    <t>ÜLDISED PERSONALITEENUSED - ÕPPELAENUDE KUSTUTAMINE</t>
  </si>
  <si>
    <t>POLITSEI</t>
  </si>
  <si>
    <t>BOTAANIKAAED</t>
  </si>
  <si>
    <t>KONTSERTORGANISATSIOONID</t>
  </si>
  <si>
    <t>KÕRGHARIDUS</t>
  </si>
  <si>
    <t>MUU RISKIRÜHMADE SOTSIAALNE KAITSE</t>
  </si>
  <si>
    <t>MEDITSIINITOOTED (PÕETUSVAHENDID KODUSTELE VOODIHAIGETELE)</t>
  </si>
  <si>
    <t>ÜLDMEDITSIINITEENUSED</t>
  </si>
  <si>
    <t>HOOLDUSRAVI</t>
  </si>
  <si>
    <t>AVALIKUD TERVISHOIUTEENUSED</t>
  </si>
  <si>
    <t>PUUETEGA ISIKUTE HOOLEKANDE ASUTUSED</t>
  </si>
  <si>
    <t>MUU PUUETEGA ISIKUTE SOTSIAALNE KAITSE</t>
  </si>
  <si>
    <t>HOOLDEKODUD</t>
  </si>
  <si>
    <t>KODUTEENUSED</t>
  </si>
  <si>
    <t>MUU EAKATE SOTSIAALNE KAITSE</t>
  </si>
  <si>
    <t>MUUDE RISKIRÜHMADE HOOLEKANDE ASUTUSED</t>
  </si>
  <si>
    <t>TOETUS TOIMETULEKUKS</t>
  </si>
  <si>
    <t>MUU SOTSIAALNE KAITSE</t>
  </si>
  <si>
    <t>09510</t>
  </si>
  <si>
    <t>4</t>
  </si>
  <si>
    <t>SA Tartu Loomemajanduskeskus</t>
  </si>
  <si>
    <t>08232</t>
  </si>
  <si>
    <t>Tartu Hooldekodu</t>
  </si>
  <si>
    <t>01700</t>
  </si>
  <si>
    <t>06300</t>
  </si>
  <si>
    <t>04520</t>
  </si>
  <si>
    <t>Veevarustus</t>
  </si>
  <si>
    <t>Rahvakultuur</t>
  </si>
  <si>
    <t>09300</t>
  </si>
  <si>
    <t>materiaalsete ja immateriaalsete varade soetamine ja renoveerimine</t>
  </si>
  <si>
    <t>finantseerimistehingud</t>
  </si>
  <si>
    <t>SOTSIAAL- JA TERVISHOIUOSAKOND</t>
  </si>
  <si>
    <t>finantseerimiseelarve (11)</t>
  </si>
  <si>
    <t>omatulu 13</t>
  </si>
  <si>
    <t>2018 kokku</t>
  </si>
  <si>
    <t>klassif</t>
  </si>
  <si>
    <t>siht 15</t>
  </si>
  <si>
    <t>KOKKU KULUD</t>
  </si>
  <si>
    <t>Vabaaeg ja kultuur</t>
  </si>
  <si>
    <t>VÕLA TEENINDAMINE</t>
  </si>
  <si>
    <t>RAAMATUKOGUD -O. Lutsu nim Linna Keskraamatukogu</t>
  </si>
  <si>
    <t>RAHVAKULTUUR</t>
  </si>
  <si>
    <t>KUNST</t>
  </si>
  <si>
    <t>VEEMAJANDUS</t>
  </si>
  <si>
    <t>VEEVARUSTUS</t>
  </si>
  <si>
    <t>MUU VABA AEG</t>
  </si>
  <si>
    <t>NOORTE HUVIHARIDUS JA
HUVITEGEVUS</t>
  </si>
  <si>
    <t>MUU RISKIRÜHMADE SOTSIAALNE
KAITSE</t>
  </si>
  <si>
    <t>MUU PUUETEGA INIMESTE
SOTSIAALNE KAITSE</t>
  </si>
  <si>
    <t>tegevus-ala</t>
  </si>
  <si>
    <t>Tegevusala ja asutuse nimetus</t>
  </si>
  <si>
    <t>KOKKU</t>
  </si>
  <si>
    <t>antav toetus</t>
  </si>
  <si>
    <t>e/a klassifikaator</t>
  </si>
  <si>
    <t>Tegevus-
ala</t>
  </si>
  <si>
    <t>preemiad, 
stipendiumid</t>
  </si>
  <si>
    <t>majandamis-
kulud</t>
  </si>
  <si>
    <t>I Muusikakool</t>
  </si>
  <si>
    <t>II Muusikakool</t>
  </si>
  <si>
    <t>Lastekunstikool</t>
  </si>
  <si>
    <t>Ilmatsalu Muusikakool</t>
  </si>
  <si>
    <t>Kultuuriosakond, sh:</t>
  </si>
  <si>
    <t>MTÜ Vanemuise Tantsu- ja Balletikool</t>
  </si>
  <si>
    <t>OÜ Arsis</t>
  </si>
  <si>
    <t>MTÜ Muusa</t>
  </si>
  <si>
    <t>MTÜ Eramuusikakool Ardente</t>
  </si>
  <si>
    <t xml:space="preserve">MTÜ Puhkpilliorkester Tartu </t>
  </si>
  <si>
    <t>MTÜ Jakobi Mäe Kultuurikoda</t>
  </si>
  <si>
    <t>Tartu Erahariduse Edendamise Selts MTÜ</t>
  </si>
  <si>
    <t>MTÜ Tartu Tantsukool</t>
  </si>
  <si>
    <t>MTÜ Armeenia Pühapäevakool MADOTS</t>
  </si>
  <si>
    <t xml:space="preserve">Ühing Polygon   
</t>
  </si>
  <si>
    <t>MTÜ Just Tants</t>
  </si>
  <si>
    <t>Mittetulundusühing FitStudio</t>
  </si>
  <si>
    <t>MTÜ Muusikakoda</t>
  </si>
  <si>
    <t>Omanäoline OÜ</t>
  </si>
  <si>
    <t>Tantsuklubi Shate</t>
  </si>
  <si>
    <t>MTÜ Ühing Iris</t>
  </si>
  <si>
    <t>MTÜ Ruumiharidus</t>
  </si>
  <si>
    <t xml:space="preserve">Mittetulundusühing Helivõlu  </t>
  </si>
  <si>
    <t>Tartu Vaba Waldorfkooli Selts</t>
  </si>
  <si>
    <t>Laste huvialamajad ja -keskused</t>
  </si>
  <si>
    <t>Vaba aja üritused</t>
  </si>
  <si>
    <t>Kultuuriosakond</t>
  </si>
  <si>
    <t>spordiprojektid (osakond)</t>
  </si>
  <si>
    <t>noorsooprojektid, sh:</t>
  </si>
  <si>
    <t>osakond</t>
  </si>
  <si>
    <t>kultuuriprojektid, sh:</t>
  </si>
  <si>
    <t>Tiigi Seltsimaja</t>
  </si>
  <si>
    <t>Linnamuuseum</t>
  </si>
  <si>
    <t>Linnaraamatukogu</t>
  </si>
  <si>
    <t>Mänguasjamuuseum</t>
  </si>
  <si>
    <t>ja investeerimiskuludeks Tartu LV struktuuriüksuste, tegevusalade ja kontogrupi koodide lõikes</t>
  </si>
  <si>
    <t>osa-
kond</t>
  </si>
  <si>
    <t>lepingu partner</t>
  </si>
  <si>
    <t>tegevus-
ala</t>
  </si>
  <si>
    <t>kontogrupi
kood</t>
  </si>
  <si>
    <t>summa
eurodes</t>
  </si>
  <si>
    <t>Linnakantselei</t>
  </si>
  <si>
    <t>Arhitektuuri ja ehituse osakond</t>
  </si>
  <si>
    <t>MTÜ Valgusklubi</t>
  </si>
  <si>
    <t>Säästva Renoveerimise Infokeskuse Tartu Ühendus</t>
  </si>
  <si>
    <t xml:space="preserve">Avalike suhete osakond </t>
  </si>
  <si>
    <t>Eesti Meedia AS</t>
  </si>
  <si>
    <t>Tartu Ülikool</t>
  </si>
  <si>
    <t>Kultuuritahvel MTÜ</t>
  </si>
  <si>
    <t>Eesti Konverentsibüroo</t>
  </si>
  <si>
    <t>Ettevõtluse osakond</t>
  </si>
  <si>
    <t>SA Tartumaa Turism</t>
  </si>
  <si>
    <t>Emajõe Kirbuturg MTÜ</t>
  </si>
  <si>
    <t>MTÜ sTartup Day</t>
  </si>
  <si>
    <t>SA Tartu Teaduspark</t>
  </si>
  <si>
    <t>Haridusosakond</t>
  </si>
  <si>
    <t>SA Tartu Sport</t>
  </si>
  <si>
    <t>Spordiklubi Rahinge</t>
  </si>
  <si>
    <t>OÜ Sepa Jalgpallikeskus</t>
  </si>
  <si>
    <t xml:space="preserve">Spordiklubile Velo </t>
  </si>
  <si>
    <t xml:space="preserve">Sõudmise ja Aerutamise Klubi Tartu </t>
  </si>
  <si>
    <t>Tartu Kalevi Vee-motoklubi</t>
  </si>
  <si>
    <t>SA Tähtvere Puhkepark</t>
  </si>
  <si>
    <t>SA Tartu Keskkonnahariduse Keskus</t>
  </si>
  <si>
    <t>SA Tartu Rahvaülikool</t>
  </si>
  <si>
    <t>Lõuna-Eesti Pimedate Ühing</t>
  </si>
  <si>
    <t>Tartu kunstimuuseum</t>
  </si>
  <si>
    <t>SA Tartu Jaani Kirik</t>
  </si>
  <si>
    <t>SA Tartu Pauluse Kirik</t>
  </si>
  <si>
    <t>SA Tartu Maarja Kirik</t>
  </si>
  <si>
    <t>SA Tartu Kultuurkapital</t>
  </si>
  <si>
    <t>Eesti Kirjanduse Selts</t>
  </si>
  <si>
    <t>Eesti Kirjanike Liidu Tartu osakond</t>
  </si>
  <si>
    <t>SA Eesti Mõtteloo Sihtkapital</t>
  </si>
  <si>
    <t>Linnamajanduse osakond</t>
  </si>
  <si>
    <t>Tartu Priitahtlike Pritsumeeste Selts</t>
  </si>
  <si>
    <t xml:space="preserve">Tartu Korteriühistute Liit </t>
  </si>
  <si>
    <t xml:space="preserve">Tartu Majaomanike Ühing   </t>
  </si>
  <si>
    <t>MTÜ Eko-Tarest</t>
  </si>
  <si>
    <t>Põhjamaade Ministrite Nõukogu Infobüroo</t>
  </si>
  <si>
    <t>AS Tartu Veevärk</t>
  </si>
  <si>
    <t>Linnavarade osakond</t>
  </si>
  <si>
    <t>MTÜ Tartu Regiooni Energiaagentuur</t>
  </si>
  <si>
    <t>Tartu Korteriühistute Liit</t>
  </si>
  <si>
    <t>Eesti Kinnisvara Haldajate Hooldajate Liit</t>
  </si>
  <si>
    <t>Rahandusosakond</t>
  </si>
  <si>
    <t>Politsei- ja Piirivalveamet</t>
  </si>
  <si>
    <t>MTÜ Naabrusvalve Keskus</t>
  </si>
  <si>
    <t>Teaduskeskus AHHAA SA</t>
  </si>
  <si>
    <t>SA Teater Vanemuine</t>
  </si>
  <si>
    <t>Eesti Kontsert SA</t>
  </si>
  <si>
    <t>OÜ Anne Saun</t>
  </si>
  <si>
    <t>Tartu Ülikooli SA</t>
  </si>
  <si>
    <t>Eesti Maaülikooli Joosep Tootsi Fond SA</t>
  </si>
  <si>
    <t>Sotsiaal- ja tervishoiu osakond</t>
  </si>
  <si>
    <t xml:space="preserve">kokku </t>
  </si>
  <si>
    <t>Tartu Puuetega Inimeste Koda MTÜ</t>
  </si>
  <si>
    <t>Lõuna Eesti Pimedate Ühing MTÜ</t>
  </si>
  <si>
    <t>Tartu Maarja Tugikeskus MTÜ</t>
  </si>
  <si>
    <t xml:space="preserve">MTÜle Händikäpp </t>
  </si>
  <si>
    <t>Tartu LPO Kodukotus MTÜ</t>
  </si>
  <si>
    <t>Tartu Eakate Nõukoda MTÜ</t>
  </si>
  <si>
    <t xml:space="preserve">MTÜ-le Tartu Psühhoteraapia- ja nõustamiskeskus </t>
  </si>
  <si>
    <t>MTÜ Peretarkuse Keskus</t>
  </si>
  <si>
    <t>MTÜ SPIN</t>
  </si>
  <si>
    <t>Laste ja Noorte Kriisiprogramm MTÜ</t>
  </si>
  <si>
    <t>Tartu Laste Tugikeskus MTÜ</t>
  </si>
  <si>
    <t xml:space="preserve">MTÜ-le Iseseisev Elu </t>
  </si>
  <si>
    <t>Tegevusala</t>
  </si>
  <si>
    <t>eelarve liik</t>
  </si>
  <si>
    <t>KOKKU
TULUD</t>
  </si>
  <si>
    <t>saadav toetus</t>
  </si>
  <si>
    <t>tulu haridusalasest tegevusest</t>
  </si>
  <si>
    <t>tulu kultuuri- ja kunstialasest tegevusest</t>
  </si>
  <si>
    <t>üüritulu</t>
  </si>
  <si>
    <t>varude müük</t>
  </si>
  <si>
    <t>KOKKU
KULUD</t>
  </si>
  <si>
    <t>töötajate töötasu</t>
  </si>
  <si>
    <t>lepinguline töötasu</t>
  </si>
  <si>
    <t>erisoodustus</t>
  </si>
  <si>
    <t>maksud personalikuludelt</t>
  </si>
  <si>
    <t>administreerimiskulud</t>
  </si>
  <si>
    <t>lähetuskulud</t>
  </si>
  <si>
    <t>koolituskulud</t>
  </si>
  <si>
    <t>hoonete, ruumide maj.kulud</t>
  </si>
  <si>
    <t>sõidukite ülalpidamine</t>
  </si>
  <si>
    <t>infotehnoloogia</t>
  </si>
  <si>
    <t>inventari maj. kulu</t>
  </si>
  <si>
    <t>meditsiini- ja hügieenitarbed</t>
  </si>
  <si>
    <t>teavikud</t>
  </si>
  <si>
    <t>õppevahendid</t>
  </si>
  <si>
    <t>vaba aja sisust. kulud</t>
  </si>
  <si>
    <t>erimaterjalid</t>
  </si>
  <si>
    <t>tulu/kulu klassif</t>
  </si>
  <si>
    <t>Raamatukogu</t>
  </si>
  <si>
    <t>Laste Kunstikool</t>
  </si>
  <si>
    <t>koolide ja kuluklassifikaatori lõikes (eurodes)</t>
  </si>
  <si>
    <t>Asutus</t>
  </si>
  <si>
    <t>rahastaja</t>
  </si>
  <si>
    <t>antavad 
toetused</t>
  </si>
  <si>
    <t>tööjõu-
kulud</t>
  </si>
  <si>
    <t>5002</t>
  </si>
  <si>
    <t>5005</t>
  </si>
  <si>
    <t>5500</t>
  </si>
  <si>
    <t>5503</t>
  </si>
  <si>
    <t>5504</t>
  </si>
  <si>
    <t>5511</t>
  </si>
  <si>
    <t>5513</t>
  </si>
  <si>
    <t>5514</t>
  </si>
  <si>
    <t>5515</t>
  </si>
  <si>
    <t>5522</t>
  </si>
  <si>
    <t>5524</t>
  </si>
  <si>
    <t>5525</t>
  </si>
  <si>
    <t>5532</t>
  </si>
  <si>
    <t>5539</t>
  </si>
  <si>
    <t>Põhihariduse otsekulud, sh:</t>
  </si>
  <si>
    <t>HarMin</t>
  </si>
  <si>
    <t>VVlg2</t>
  </si>
  <si>
    <t>Hugo Treffneri Gümnaasium</t>
  </si>
  <si>
    <t>Kristjan Jaak Petersoni Gümnaasium</t>
  </si>
  <si>
    <t>Koolitoit, sh:</t>
  </si>
  <si>
    <t>Hariduse abiteenused, sh:</t>
  </si>
  <si>
    <t>Hariduse Tugiteenuste Keskus</t>
  </si>
  <si>
    <t>Muu haridus, sh:</t>
  </si>
  <si>
    <t>jaotus asutuste ning tulu- ja kuluklassifikaatori lõikes (eurodes)</t>
  </si>
  <si>
    <t>eurodes</t>
  </si>
  <si>
    <t>õppekavaväline tegevus</t>
  </si>
  <si>
    <t>KOKKU KULUD
majandustegevuseks</t>
  </si>
  <si>
    <t>hoonete ja ruumide maj.kulud</t>
  </si>
  <si>
    <t>meditsiinikulud</t>
  </si>
  <si>
    <t>Koolieelsed lasteasutused 
kokku (09110), sh:</t>
  </si>
  <si>
    <t>(eurodes)</t>
  </si>
  <si>
    <t>KOKKU TULUD</t>
  </si>
  <si>
    <t>tulu haridusalasest majandustegevusest</t>
  </si>
  <si>
    <t>muu toodete ja teenuste müük</t>
  </si>
  <si>
    <t xml:space="preserve">saadav sihtfinantseerimine </t>
  </si>
  <si>
    <t>antav 
sihtfinantseerimine</t>
  </si>
  <si>
    <t>4500.03</t>
  </si>
  <si>
    <t>4500.99</t>
  </si>
  <si>
    <t>Miina Härma Gümnaasium</t>
  </si>
  <si>
    <t>KOKKU VAHENDID</t>
  </si>
  <si>
    <t>põhitegevuskulude jaotus asutuste ning kuluklassifikaatori lõikes (eurodes)</t>
  </si>
  <si>
    <t>antav tegevustoetus</t>
  </si>
  <si>
    <t>majandamniskulud</t>
  </si>
  <si>
    <t>adminkulud</t>
  </si>
  <si>
    <t>inventarikulud</t>
  </si>
  <si>
    <t>Haridusosakond (linn)</t>
  </si>
  <si>
    <t>Haridusosakond (riik)</t>
  </si>
  <si>
    <t>Ilmatsalu Põhikool</t>
  </si>
  <si>
    <t>INNOVE</t>
  </si>
  <si>
    <t>Koolitransport, sh:</t>
  </si>
  <si>
    <t>Tartu Lasteaed Klaabu</t>
  </si>
  <si>
    <t>Tartu Lasteaed Lotte</t>
  </si>
  <si>
    <t>Tartu Lasteaed Naerumaa</t>
  </si>
  <si>
    <t>Tartu Lasteaed Pääsupesa</t>
  </si>
  <si>
    <t>Tartu Maarjamõisa Lasteaed</t>
  </si>
  <si>
    <t>Tartu Lasteaed Triinu ja Taavi</t>
  </si>
  <si>
    <t>üür ja rent mitteeluruumidelt</t>
  </si>
  <si>
    <t>muu tulu üüri ja rendiga kaasnevast tegevusest</t>
  </si>
  <si>
    <t>Maksu-, riigilõivu ja trahvikulud</t>
  </si>
  <si>
    <t>MUU ELAMU- JA KOMMUNAALMAJANDUS (Kalmistu)</t>
  </si>
  <si>
    <t>MTÜ Karlova Selts</t>
  </si>
  <si>
    <t>Laste huvialamajad ja -keskused:</t>
  </si>
  <si>
    <t>jaotus asutuste ja kuluklassifikaatori lõikes (eurodes)</t>
  </si>
  <si>
    <t>preemiad, stipendiumid, toetused füüsilistele isikutele</t>
  </si>
  <si>
    <t xml:space="preserve">tulude ja  kulude jaotus  koolide ja kuluklassifikaatori lõikes </t>
  </si>
  <si>
    <t>Kutsehariduskeskus</t>
  </si>
  <si>
    <t>tulud spordi- ja puhkealasest tegevusest</t>
  </si>
  <si>
    <t>tegevusala</t>
  </si>
  <si>
    <t>Päevakeskus Kalda</t>
  </si>
  <si>
    <t>Tähtvere Päevakeskus</t>
  </si>
  <si>
    <t>ASENDUSKODUD (osakond)</t>
  </si>
  <si>
    <t>TASEME ALUSEL MITTEMÄÄRATLETAV HARIDUS (KHK)</t>
  </si>
  <si>
    <t>Laste Turvakodu</t>
  </si>
  <si>
    <t>Osakond</t>
  </si>
  <si>
    <t>majandamiskulud (hooldekodud)</t>
  </si>
  <si>
    <t>majandamiskulud (päevakeskus)</t>
  </si>
  <si>
    <t>Varjupaik</t>
  </si>
  <si>
    <t>ÖÖMAJA (omatulud KHK)</t>
  </si>
  <si>
    <t>Majandamiseelarve</t>
  </si>
  <si>
    <t>struktuuriüksuste, valdkondade, tegevusalade ja kuluklassifikaatori lõikes (eurodes)</t>
  </si>
  <si>
    <t>ametiasutuste, valdkondade ja kululiikide lõikes (eurodes)</t>
  </si>
  <si>
    <t>Õpilaskodu, sh:</t>
  </si>
  <si>
    <t xml:space="preserve"> Tulud
haridusaladest tegevusest</t>
  </si>
  <si>
    <t>Üüri ja renditulud</t>
  </si>
  <si>
    <t xml:space="preserve">Linna 2019. a põhitegevuse kulude eelarve jaotus </t>
  </si>
  <si>
    <t>Tartu linna 2019. a investeerimis- ja finantseerimistegevuse kulude jaotus eelarveliikide,</t>
  </si>
  <si>
    <t xml:space="preserve">Tartu linna 2019. a kultuuriosakonna finantseerimiseelarve põhitegevuskulude </t>
  </si>
  <si>
    <t xml:space="preserve">Tartu linna 2019. a haridusosakonna finantseerimiseelarve kulude jaotus </t>
  </si>
  <si>
    <t xml:space="preserve">Tartu linna 2019. a koolieelsete lasteasutuste finantseerimiseelarve </t>
  </si>
  <si>
    <t xml:space="preserve">Tartu linna 2019. a haridusosakonna majandamiseelarve </t>
  </si>
  <si>
    <t xml:space="preserve">Tartu linna 2019. a koolieelsete lasteasutuste majandamiseelarve põhitegevuskulude </t>
  </si>
  <si>
    <t xml:space="preserve">Tartu linna 2019. a sotsiaal- ja tervishoiuosakonna eelarve põhitegevuskulude </t>
  </si>
  <si>
    <t xml:space="preserve">Tartu linna 2019. a eelarvesse kinnitatud antavad tegevustoetused ja sihtfinantseerimised tegevus- </t>
  </si>
  <si>
    <t>PÕHI- JA ÜLDKESKHARIDUS</t>
  </si>
  <si>
    <t>ÜLDKESKHARIDUSE ÕPETAJATE TÖÖJÕUKULUD</t>
  </si>
  <si>
    <t>ÕHUTRANSPORT</t>
  </si>
  <si>
    <t>SA Keskkonnahariduse Keskus</t>
  </si>
  <si>
    <t>MTÜ Urban Style</t>
  </si>
  <si>
    <t xml:space="preserve">MTÜ Spordiklubi Finess  - Finess Tantsukool </t>
  </si>
  <si>
    <t xml:space="preserve">OÜ Ostinato  </t>
  </si>
  <si>
    <t xml:space="preserve">OÜ miniLABOR  </t>
  </si>
  <si>
    <t>Noorsootöö Keskus</t>
  </si>
  <si>
    <t>noorteühingute toetus</t>
  </si>
  <si>
    <t>kultuuriühingute toetus</t>
  </si>
  <si>
    <t>teenuse ost</t>
  </si>
  <si>
    <t>NOORSOOTÖÖ (Noorsootöö Keskus)</t>
  </si>
  <si>
    <t>NOORTESPORT (osakond)</t>
  </si>
  <si>
    <t>osakond, sh:</t>
  </si>
  <si>
    <t>toetus linnaosade seltsidele</t>
  </si>
  <si>
    <t>toetus kultuuriühingutele (60+)</t>
  </si>
  <si>
    <t>RAAMATUKOGUD (Linnaraamatukogu)</t>
  </si>
  <si>
    <t>MUUD TERVISHOIUTEENUSED</t>
  </si>
  <si>
    <t>MUU PEREKONDADE JA LASTE SOTSIAALNE KAITSE</t>
  </si>
  <si>
    <t>MUU SOTSIAALSETE RISKIRÜHMADE KAITSE</t>
  </si>
  <si>
    <t>.</t>
  </si>
  <si>
    <t>VEETRANSPORT</t>
  </si>
  <si>
    <t>RAAMATUKOGUD</t>
  </si>
  <si>
    <t>KUTSEÕPPE KULUD</t>
  </si>
  <si>
    <t>Tartu Noorsootöö Keskus</t>
  </si>
  <si>
    <t xml:space="preserve"> ja tulu/kulu klassifikaatori lõikes (eurodes)</t>
  </si>
  <si>
    <t>Tartu linna 2019. a kultuuriosakonna majandamis- eelarve põhitegevuskulude jaotus asutuste</t>
  </si>
  <si>
    <t>tulud majandus-
tegevusest</t>
  </si>
  <si>
    <t>tulud varadelt</t>
  </si>
  <si>
    <t>antavad toetused (päevakeskus)</t>
  </si>
  <si>
    <t>kokku 2019</t>
  </si>
  <si>
    <t>Eesti Rahvusringhääling</t>
  </si>
  <si>
    <t>Tartumaa Arendusselts</t>
  </si>
  <si>
    <t>OÜ Kirjastus Ilmamaa</t>
  </si>
  <si>
    <t>Eesti Kirikute Nõukogu</t>
  </si>
  <si>
    <t>Tartu Biotehnoloogia Park OÜ</t>
  </si>
  <si>
    <t>SA Tartu Ärinõuandla</t>
  </si>
  <si>
    <t>OÜ Vein ja Vine</t>
  </si>
  <si>
    <t>Võimlemisklubi Akros</t>
  </si>
  <si>
    <t>Kastre Vallavalitsus</t>
  </si>
  <si>
    <t>Rahinge külaselts</t>
  </si>
  <si>
    <t>MTÜ Tammelinna Selts</t>
  </si>
  <si>
    <t>Ihaste Selts MTÜ</t>
  </si>
  <si>
    <t>MTÜ Supilinna Selts</t>
  </si>
  <si>
    <t>MTÜ Annelinna Selts</t>
  </si>
  <si>
    <t>MTÜ Tähtvere Selts</t>
  </si>
  <si>
    <t xml:space="preserve"> Eesti KÜ Liidu Tartu Büroo</t>
  </si>
  <si>
    <t>Eesti Apostlik-Õigeusu Kirik</t>
  </si>
  <si>
    <t>EEEL Tartu Peetri Kogudus</t>
  </si>
  <si>
    <t>MTÜ Enneaegsed Lapsed</t>
  </si>
  <si>
    <t>MTÜ Libertas Kliinik</t>
  </si>
  <si>
    <t>ProVida Nõustamis- ja rehabilitatsioonikeskus OÜ</t>
  </si>
  <si>
    <t>Põhi- ja üldkeskharidus, sh:</t>
  </si>
  <si>
    <t>Maarjamõisa Lasteaed</t>
  </si>
  <si>
    <t>Maarja Kool</t>
  </si>
  <si>
    <t>Lasteaed Tähtvere</t>
  </si>
  <si>
    <t>Lasteaed Tõruke</t>
  </si>
  <si>
    <t>Lasteaed Triinu jaTaavi</t>
  </si>
  <si>
    <t>Lasteaed Sirel</t>
  </si>
  <si>
    <t>Lasteaed Sipsik</t>
  </si>
  <si>
    <t>Lasteaed Sass</t>
  </si>
  <si>
    <t>Lasteaed Rõõmupesa</t>
  </si>
  <si>
    <t>Lasteaed Rukkilill</t>
  </si>
  <si>
    <t>Lasteaed Ristikhein</t>
  </si>
  <si>
    <t>Lasteaed Pääsupesa</t>
  </si>
  <si>
    <t>Lasteaed Poku</t>
  </si>
  <si>
    <t>Lasteaed Ploomike</t>
  </si>
  <si>
    <t>Lasteaed Piilupesa</t>
  </si>
  <si>
    <t>Lasteaed Naerumaa</t>
  </si>
  <si>
    <t>Lasteaed Mõmmik</t>
  </si>
  <si>
    <t>Lasteaed Midrimaa</t>
  </si>
  <si>
    <t>Lasteaed Meelespea</t>
  </si>
  <si>
    <t>Lasteaed Lotte</t>
  </si>
  <si>
    <t>Lasteaed Krõll</t>
  </si>
  <si>
    <t>Lasteaed Klaabu</t>
  </si>
  <si>
    <t>Lasteaed Kivike</t>
  </si>
  <si>
    <t>Lasteaed Kelluke</t>
  </si>
  <si>
    <t>Lasteaed Karoliine</t>
  </si>
  <si>
    <t>Lasteaed Kannike</t>
  </si>
  <si>
    <t>Lasteaed Hellik</t>
  </si>
  <si>
    <t>Lasteaed Annike</t>
  </si>
  <si>
    <t>Lasteaed Helika</t>
  </si>
  <si>
    <t>Ilmatsalu Lasteaed Lepatriinu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</si>
  <si>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</si>
  <si>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</si>
  <si>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</si>
  <si>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</si>
  <si>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</si>
  <si>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</si>
  <si>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</si>
  <si>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</si>
  <si>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</si>
  <si>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</si>
  <si>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</si>
  <si>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</si>
  <si>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</si>
  <si>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Annelinna Gümnaasium</t>
  </si>
  <si>
    <t>Herbert Masingu Kool</t>
  </si>
  <si>
    <t>Jaan Poska Gümnaasium</t>
  </si>
  <si>
    <t>Täiskasvanute Gümnaasium</t>
  </si>
  <si>
    <t>Üldkeskhariduse õpetajate tööjõukulud, sh:</t>
  </si>
  <si>
    <t>LASTE HUVIALAMAJAD JA -KESKUSED (Haridusosakond)</t>
  </si>
  <si>
    <t>antav toetus VVlg 2 arvel</t>
  </si>
  <si>
    <t>KOKKU TULUD
majandus-
tegevusest</t>
  </si>
  <si>
    <t>Tartu Lasteaed Ristikhein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</si>
</sst>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  <numFmt numFmtId="168" formatCode="#,##0.0"/>
    <numFmt numFmtId="169" formatCode="#,##0_ ;\-#,##0\ "/>
    <numFmt numFmtId="170" formatCode="_-* #,##0\ _k_r_-;\-* #,##0\ _k_r_-;_-* &quot;-&quot;??\ _k_r_-;_-@_-"/>
  </numFmts>
  <fonts count="8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b/>
      <sz val="11"/>
      <name val="Calibri"/>
      <family val="2"/>
      <scheme val="minor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theme="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theme="1"/>
      <name val="Times New Roman"/>
      <family val="1"/>
      <charset val="186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520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25" fillId="34" borderId="10" applyNumberFormat="0" applyAlignment="0" applyProtection="0"/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7" fillId="0" borderId="12" applyNumberFormat="0" applyFill="0" applyAlignment="0" applyProtection="0"/>
    <xf numFmtId="0" fontId="22" fillId="35" borderId="13" applyNumberFormat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5" fillId="34" borderId="10" applyNumberFormat="0" applyAlignment="0" applyProtection="0"/>
    <xf numFmtId="0" fontId="24" fillId="0" borderId="11" applyNumberFormat="0" applyFill="0" applyAlignment="0" applyProtection="0"/>
    <xf numFmtId="0" fontId="22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166" fontId="23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73" borderId="0" applyNumberFormat="0" applyBorder="0" applyAlignment="0" applyProtection="0"/>
    <xf numFmtId="0" fontId="41" fillId="49" borderId="10" applyNumberFormat="0" applyAlignment="0" applyProtection="0"/>
    <xf numFmtId="0" fontId="42" fillId="74" borderId="20" applyNumberFormat="0" applyAlignment="0" applyProtection="0"/>
    <xf numFmtId="0" fontId="25" fillId="74" borderId="10" applyNumberFormat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5" fillId="75" borderId="16" applyNumberFormat="0" applyAlignment="0" applyProtection="0"/>
    <xf numFmtId="0" fontId="29" fillId="0" borderId="0" applyNumberFormat="0" applyFill="0" applyBorder="0" applyAlignment="0" applyProtection="0"/>
    <xf numFmtId="0" fontId="28" fillId="76" borderId="0" applyNumberFormat="0" applyBorder="0" applyAlignment="0" applyProtection="0"/>
    <xf numFmtId="0" fontId="34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77" borderId="13" applyNumberFormat="0" applyFont="0" applyAlignment="0" applyProtection="0"/>
    <xf numFmtId="0" fontId="2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9" borderId="10" applyNumberFormat="0" applyAlignment="0" applyProtection="0"/>
    <xf numFmtId="0" fontId="25" fillId="74" borderId="10" applyNumberFormat="0" applyAlignment="0" applyProtection="0"/>
    <xf numFmtId="0" fontId="1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74" borderId="10" applyNumberFormat="0" applyAlignment="0" applyProtection="0"/>
    <xf numFmtId="0" fontId="11" fillId="6" borderId="4" applyNumberFormat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7" fillId="0" borderId="12" applyNumberFormat="0" applyFill="0" applyAlignment="0" applyProtection="0"/>
    <xf numFmtId="0" fontId="22" fillId="35" borderId="13" applyNumberFormat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0" fontId="25" fillId="34" borderId="10" applyNumberFormat="0" applyAlignment="0" applyProtection="0"/>
    <xf numFmtId="0" fontId="24" fillId="0" borderId="11" applyNumberFormat="0" applyFill="0" applyAlignment="0" applyProtection="0"/>
    <xf numFmtId="0" fontId="22" fillId="35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166" fontId="23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73" borderId="0" applyNumberFormat="0" applyBorder="0" applyAlignment="0" applyProtection="0"/>
    <xf numFmtId="0" fontId="41" fillId="49" borderId="10" applyNumberFormat="0" applyAlignment="0" applyProtection="0"/>
    <xf numFmtId="0" fontId="42" fillId="74" borderId="20" applyNumberFormat="0" applyAlignment="0" applyProtection="0"/>
    <xf numFmtId="0" fontId="25" fillId="74" borderId="10" applyNumberFormat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5" fillId="75" borderId="16" applyNumberFormat="0" applyAlignment="0" applyProtection="0"/>
    <xf numFmtId="0" fontId="29" fillId="0" borderId="0" applyNumberFormat="0" applyFill="0" applyBorder="0" applyAlignment="0" applyProtection="0"/>
    <xf numFmtId="0" fontId="28" fillId="76" borderId="0" applyNumberFormat="0" applyBorder="0" applyAlignment="0" applyProtection="0"/>
    <xf numFmtId="0" fontId="34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77" borderId="13" applyNumberFormat="0" applyFont="0" applyAlignment="0" applyProtection="0"/>
    <xf numFmtId="0" fontId="2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9" borderId="10" applyNumberFormat="0" applyAlignment="0" applyProtection="0"/>
    <xf numFmtId="0" fontId="25" fillId="74" borderId="10" applyNumberFormat="0" applyAlignment="0" applyProtection="0"/>
    <xf numFmtId="0" fontId="22" fillId="35" borderId="13" applyNumberFormat="0" applyAlignment="0" applyProtection="0"/>
    <xf numFmtId="0" fontId="19" fillId="77" borderId="13" applyNumberFormat="0" applyFon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22" fillId="35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11" fillId="6" borderId="4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1" fillId="6" borderId="4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1" fillId="6" borderId="4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5" fillId="34" borderId="10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13" fillId="7" borderId="7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13" fillId="7" borderId="7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35" fillId="69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9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44" fillId="0" borderId="2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5" fillId="0" borderId="2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46" fillId="0" borderId="2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9" fillId="5" borderId="4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9" fillId="5" borderId="4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3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2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2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12" applyNumberFormat="0" applyFill="0" applyAlignment="0" applyProtection="0"/>
    <xf numFmtId="0" fontId="19" fillId="77" borderId="13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8" fillId="76" borderId="0" applyNumberFormat="0" applyBorder="0" applyAlignment="0" applyProtection="0"/>
    <xf numFmtId="0" fontId="8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8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8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0" fillId="6" borderId="5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0" fillId="6" borderId="5" applyNumberFormat="0" applyAlignment="0" applyProtection="0"/>
    <xf numFmtId="0" fontId="42" fillId="34" borderId="20" applyNumberFormat="0" applyAlignment="0" applyProtection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34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47" fillId="44" borderId="0" applyNumberFormat="0" applyBorder="0" applyAlignment="0" applyProtection="0"/>
    <xf numFmtId="0" fontId="32" fillId="7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47" fillId="45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47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7" fillId="47" borderId="0" applyNumberFormat="0" applyBorder="0" applyAlignment="0" applyProtection="0"/>
    <xf numFmtId="0" fontId="32" fillId="7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7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47" fillId="4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7" fillId="54" borderId="0" applyNumberFormat="0" applyBorder="0" applyAlignment="0" applyProtection="0"/>
    <xf numFmtId="0" fontId="32" fillId="3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47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47" fillId="56" borderId="0" applyNumberFormat="0" applyBorder="0" applyAlignment="0" applyProtection="0"/>
    <xf numFmtId="0" fontId="32" fillId="3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7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7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47" fillId="57" borderId="0" applyNumberFormat="0" applyBorder="0" applyAlignment="0" applyProtection="0"/>
    <xf numFmtId="0" fontId="32" fillId="4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48" fillId="61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62" borderId="0" applyNumberFormat="0" applyBorder="0" applyAlignment="0" applyProtection="0"/>
    <xf numFmtId="0" fontId="32" fillId="0" borderId="0"/>
    <xf numFmtId="0" fontId="33" fillId="37" borderId="0" applyNumberFormat="0" applyBorder="0" applyAlignment="0" applyProtection="0"/>
    <xf numFmtId="0" fontId="32" fillId="0" borderId="0"/>
    <xf numFmtId="0" fontId="33" fillId="43" borderId="0" applyNumberFormat="0" applyBorder="0" applyAlignment="0" applyProtection="0"/>
    <xf numFmtId="0" fontId="33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61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2" fillId="0" borderId="0"/>
    <xf numFmtId="0" fontId="33" fillId="37" borderId="0" applyNumberFormat="0" applyBorder="0" applyAlignment="0" applyProtection="0"/>
    <xf numFmtId="0" fontId="33" fillId="65" borderId="0" applyNumberFormat="0" applyBorder="0" applyAlignment="0" applyProtection="0"/>
    <xf numFmtId="0" fontId="32" fillId="0" borderId="0"/>
    <xf numFmtId="0" fontId="33" fillId="79" borderId="0" applyNumberFormat="0" applyBorder="0" applyAlignment="0" applyProtection="0"/>
    <xf numFmtId="0" fontId="33" fillId="66" borderId="0" applyNumberFormat="0" applyBorder="0" applyAlignment="0" applyProtection="0"/>
    <xf numFmtId="0" fontId="32" fillId="0" borderId="0"/>
    <xf numFmtId="0" fontId="33" fillId="80" borderId="0" applyNumberFormat="0" applyBorder="0" applyAlignment="0" applyProtection="0"/>
    <xf numFmtId="0" fontId="33" fillId="67" borderId="0" applyNumberFormat="0" applyBorder="0" applyAlignment="0" applyProtection="0"/>
    <xf numFmtId="0" fontId="32" fillId="0" borderId="0"/>
    <xf numFmtId="0" fontId="33" fillId="81" borderId="0" applyNumberFormat="0" applyBorder="0" applyAlignment="0" applyProtection="0"/>
    <xf numFmtId="0" fontId="33" fillId="59" borderId="0" applyNumberFormat="0" applyBorder="0" applyAlignment="0" applyProtection="0"/>
    <xf numFmtId="0" fontId="32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0" borderId="0"/>
    <xf numFmtId="0" fontId="33" fillId="82" borderId="0" applyNumberFormat="0" applyBorder="0" applyAlignment="0" applyProtection="0"/>
    <xf numFmtId="0" fontId="33" fillId="68" borderId="0" applyNumberFormat="0" applyBorder="0" applyAlignment="0" applyProtection="0"/>
    <xf numFmtId="0" fontId="25" fillId="34" borderId="10" applyNumberFormat="0" applyAlignment="0" applyProtection="0"/>
    <xf numFmtId="0" fontId="32" fillId="0" borderId="0"/>
    <xf numFmtId="0" fontId="32" fillId="0" borderId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2" fillId="0" borderId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32" fillId="0" borderId="0"/>
    <xf numFmtId="0" fontId="35" fillId="69" borderId="16" applyNumberFormat="0" applyAlignment="0" applyProtection="0"/>
    <xf numFmtId="0" fontId="35" fillId="69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0" borderId="0"/>
    <xf numFmtId="0" fontId="32" fillId="0" borderId="0"/>
    <xf numFmtId="0" fontId="44" fillId="0" borderId="21" applyNumberFormat="0" applyFill="0" applyAlignment="0" applyProtection="0"/>
    <xf numFmtId="0" fontId="38" fillId="0" borderId="17" applyNumberFormat="0" applyFill="0" applyAlignment="0" applyProtection="0"/>
    <xf numFmtId="0" fontId="32" fillId="0" borderId="0"/>
    <xf numFmtId="0" fontId="45" fillId="0" borderId="22" applyNumberFormat="0" applyFill="0" applyAlignment="0" applyProtection="0"/>
    <xf numFmtId="0" fontId="39" fillId="0" borderId="18" applyNumberFormat="0" applyFill="0" applyAlignment="0" applyProtection="0"/>
    <xf numFmtId="0" fontId="32" fillId="0" borderId="0"/>
    <xf numFmtId="0" fontId="46" fillId="0" borderId="23" applyNumberFormat="0" applyFill="0" applyAlignment="0" applyProtection="0"/>
    <xf numFmtId="0" fontId="40" fillId="0" borderId="19" applyNumberFormat="0" applyFill="0" applyAlignment="0" applyProtection="0"/>
    <xf numFmtId="0" fontId="32" fillId="0" borderId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/>
    <xf numFmtId="0" fontId="32" fillId="0" borderId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24" fillId="0" borderId="11" applyNumberFormat="0" applyFill="0" applyAlignment="0" applyProtection="0"/>
    <xf numFmtId="0" fontId="32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2" fillId="0" borderId="0"/>
    <xf numFmtId="0" fontId="27" fillId="0" borderId="12" applyNumberFormat="0" applyFill="0" applyAlignment="0" applyProtection="0"/>
    <xf numFmtId="0" fontId="32" fillId="0" borderId="0"/>
    <xf numFmtId="0" fontId="32" fillId="0" borderId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28" fillId="36" borderId="0" applyNumberFormat="0" applyBorder="0" applyAlignment="0" applyProtection="0"/>
    <xf numFmtId="0" fontId="32" fillId="0" borderId="0"/>
    <xf numFmtId="0" fontId="32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29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73" borderId="0" applyNumberFormat="0" applyBorder="0" applyAlignment="0" applyProtection="0"/>
    <xf numFmtId="0" fontId="41" fillId="49" borderId="10" applyNumberFormat="0" applyAlignment="0" applyProtection="0"/>
    <xf numFmtId="0" fontId="42" fillId="74" borderId="20" applyNumberFormat="0" applyAlignment="0" applyProtection="0"/>
    <xf numFmtId="0" fontId="25" fillId="74" borderId="10" applyNumberFormat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5" fillId="75" borderId="16" applyNumberFormat="0" applyAlignment="0" applyProtection="0"/>
    <xf numFmtId="0" fontId="29" fillId="0" borderId="0" applyNumberFormat="0" applyFill="0" applyBorder="0" applyAlignment="0" applyProtection="0"/>
    <xf numFmtId="0" fontId="28" fillId="76" borderId="0" applyNumberFormat="0" applyBorder="0" applyAlignment="0" applyProtection="0"/>
    <xf numFmtId="0" fontId="34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2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5" fillId="34" borderId="10" applyNumberFormat="0" applyAlignment="0" applyProtection="0"/>
    <xf numFmtId="0" fontId="24" fillId="0" borderId="11" applyNumberFormat="0" applyFill="0" applyAlignment="0" applyProtection="0"/>
    <xf numFmtId="0" fontId="27" fillId="0" borderId="12" applyNumberFormat="0" applyFill="0" applyAlignment="0" applyProtection="0"/>
    <xf numFmtId="0" fontId="22" fillId="35" borderId="13" applyNumberFormat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4" borderId="10" applyNumberFormat="0" applyAlignment="0" applyProtection="0"/>
    <xf numFmtId="0" fontId="41" fillId="43" borderId="10" applyNumberFormat="0" applyAlignment="0" applyProtection="0"/>
    <xf numFmtId="0" fontId="25" fillId="7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7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5" fillId="34" borderId="10" applyNumberFormat="0" applyAlignment="0" applyProtection="0"/>
    <xf numFmtId="0" fontId="1" fillId="10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22" fillId="35" borderId="13" applyNumberFormat="0" applyAlignment="0" applyProtection="0"/>
    <xf numFmtId="0" fontId="41" fillId="43" borderId="10" applyNumberFormat="0" applyAlignment="0" applyProtection="0"/>
    <xf numFmtId="0" fontId="25" fillId="34" borderId="10" applyNumberFormat="0" applyAlignment="0" applyProtection="0"/>
    <xf numFmtId="0" fontId="25" fillId="74" borderId="10" applyNumberFormat="0" applyAlignment="0" applyProtection="0"/>
    <xf numFmtId="0" fontId="41" fillId="49" borderId="10" applyNumberFormat="0" applyAlignment="0" applyProtection="0"/>
    <xf numFmtId="0" fontId="24" fillId="0" borderId="11" applyNumberFormat="0" applyFill="0" applyAlignment="0" applyProtection="0"/>
    <xf numFmtId="0" fontId="41" fillId="43" borderId="10" applyNumberFormat="0" applyAlignment="0" applyProtection="0"/>
    <xf numFmtId="0" fontId="25" fillId="34" borderId="10" applyNumberFormat="0" applyAlignment="0" applyProtection="0"/>
    <xf numFmtId="0" fontId="22" fillId="35" borderId="13" applyNumberFormat="0" applyAlignment="0" applyProtection="0"/>
    <xf numFmtId="0" fontId="25" fillId="34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1" fillId="49" borderId="10" applyNumberFormat="0" applyAlignment="0" applyProtection="0"/>
    <xf numFmtId="0" fontId="41" fillId="43" borderId="10" applyNumberFormat="0" applyAlignment="0" applyProtection="0"/>
    <xf numFmtId="0" fontId="25" fillId="3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25" fillId="34" borderId="10" applyNumberFormat="0" applyAlignment="0" applyProtection="0"/>
    <xf numFmtId="0" fontId="42" fillId="74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3" borderId="10" applyNumberFormat="0" applyAlignment="0" applyProtection="0"/>
    <xf numFmtId="0" fontId="25" fillId="3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2" fillId="35" borderId="13" applyNumberFormat="0" applyAlignment="0" applyProtection="0"/>
    <xf numFmtId="0" fontId="19" fillId="77" borderId="13" applyNumberFormat="0" applyFont="0" applyAlignment="0" applyProtection="0"/>
    <xf numFmtId="0" fontId="25" fillId="74" borderId="10" applyNumberFormat="0" applyAlignment="0" applyProtection="0"/>
    <xf numFmtId="0" fontId="41" fillId="49" borderId="10" applyNumberFormat="0" applyAlignment="0" applyProtection="0"/>
    <xf numFmtId="0" fontId="25" fillId="34" borderId="10" applyNumberFormat="0" applyAlignment="0" applyProtection="0"/>
    <xf numFmtId="0" fontId="19" fillId="77" borderId="13" applyNumberFormat="0" applyFon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41" fillId="43" borderId="10" applyNumberFormat="0" applyAlignment="0" applyProtection="0"/>
    <xf numFmtId="0" fontId="25" fillId="34" borderId="10" applyNumberFormat="0" applyAlignment="0" applyProtection="0"/>
    <xf numFmtId="0" fontId="24" fillId="0" borderId="11" applyNumberFormat="0" applyFill="0" applyAlignment="0" applyProtection="0"/>
    <xf numFmtId="0" fontId="22" fillId="35" borderId="13" applyNumberFormat="0" applyAlignment="0" applyProtection="0"/>
    <xf numFmtId="0" fontId="24" fillId="0" borderId="11" applyNumberFormat="0" applyFill="0" applyAlignment="0" applyProtection="0"/>
    <xf numFmtId="0" fontId="25" fillId="7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24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22" fillId="35" borderId="13" applyNumberFormat="0" applyAlignment="0" applyProtection="0"/>
    <xf numFmtId="0" fontId="41" fillId="49" borderId="10" applyNumberFormat="0" applyAlignment="0" applyProtection="0"/>
    <xf numFmtId="0" fontId="42" fillId="74" borderId="20" applyNumberFormat="0" applyAlignment="0" applyProtection="0"/>
    <xf numFmtId="0" fontId="25" fillId="74" borderId="10" applyNumberFormat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19" fillId="77" borderId="13" applyNumberFormat="0" applyFon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25" fillId="34" borderId="10" applyNumberFormat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19" fillId="77" borderId="13" applyNumberFormat="0" applyFont="0" applyAlignment="0" applyProtection="0"/>
    <xf numFmtId="0" fontId="19" fillId="77" borderId="13" applyNumberFormat="0" applyFon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9" fillId="35" borderId="13" applyNumberFormat="0" applyAlignment="0" applyProtection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9" fillId="35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8" borderId="20" applyNumberFormat="0" applyAlignment="0" applyProtection="0"/>
    <xf numFmtId="0" fontId="42" fillId="78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4" borderId="20" applyNumberFormat="0" applyAlignment="0" applyProtection="0"/>
    <xf numFmtId="0" fontId="42" fillId="3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9" borderId="10" applyNumberFormat="0" applyAlignment="0" applyProtection="0"/>
    <xf numFmtId="0" fontId="41" fillId="49" borderId="10" applyNumberFormat="0" applyAlignment="0" applyProtection="0"/>
    <xf numFmtId="0" fontId="42" fillId="74" borderId="20" applyNumberFormat="0" applyAlignment="0" applyProtection="0"/>
    <xf numFmtId="0" fontId="42" fillId="74" borderId="20" applyNumberFormat="0" applyAlignment="0" applyProtection="0"/>
    <xf numFmtId="0" fontId="42" fillId="74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4" borderId="20" applyNumberFormat="0" applyAlignment="0" applyProtection="0"/>
    <xf numFmtId="0" fontId="42" fillId="74" borderId="20" applyNumberFormat="0" applyAlignment="0" applyProtection="0"/>
    <xf numFmtId="0" fontId="42" fillId="74" borderId="20" applyNumberFormat="0" applyAlignment="0" applyProtection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4" borderId="10" applyNumberFormat="0" applyAlignment="0" applyProtection="0"/>
    <xf numFmtId="0" fontId="25" fillId="7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19" fillId="77" borderId="13" applyNumberFormat="0" applyFont="0" applyAlignment="0" applyProtection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19" fillId="77" borderId="13" applyNumberFormat="0" applyFont="0" applyAlignment="0" applyProtection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7" borderId="13" applyNumberFormat="0" applyFont="0" applyAlignment="0" applyProtection="0"/>
    <xf numFmtId="0" fontId="19" fillId="77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" fillId="0" borderId="0"/>
    <xf numFmtId="0" fontId="4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416">
    <xf numFmtId="0" fontId="0" fillId="0" borderId="0" xfId="0"/>
    <xf numFmtId="0" fontId="51" fillId="33" borderId="15" xfId="19" quotePrefix="1" applyFont="1" applyFill="1" applyBorder="1" applyAlignment="1">
      <alignment horizontal="right"/>
    </xf>
    <xf numFmtId="0" fontId="0" fillId="0" borderId="0" xfId="0"/>
    <xf numFmtId="3" fontId="50" fillId="33" borderId="15" xfId="19" applyNumberFormat="1" applyFont="1" applyFill="1" applyBorder="1" applyAlignment="1"/>
    <xf numFmtId="0" fontId="18" fillId="33" borderId="15" xfId="19" applyFont="1" applyFill="1" applyBorder="1" applyAlignment="1">
      <alignment horizontal="left"/>
    </xf>
    <xf numFmtId="0" fontId="50" fillId="33" borderId="15" xfId="19" applyFont="1" applyFill="1" applyBorder="1"/>
    <xf numFmtId="3" fontId="0" fillId="0" borderId="0" xfId="0" applyNumberFormat="1"/>
    <xf numFmtId="3" fontId="21" fillId="33" borderId="15" xfId="19" applyNumberFormat="1" applyFont="1" applyFill="1" applyBorder="1" applyAlignment="1"/>
    <xf numFmtId="0" fontId="50" fillId="33" borderId="15" xfId="19" applyFont="1" applyFill="1" applyBorder="1" applyAlignment="1"/>
    <xf numFmtId="0" fontId="18" fillId="33" borderId="15" xfId="19" applyFill="1" applyBorder="1" applyAlignment="1">
      <alignment horizontal="left" indent="1"/>
    </xf>
    <xf numFmtId="0" fontId="16" fillId="0" borderId="0" xfId="0" applyFont="1"/>
    <xf numFmtId="0" fontId="19" fillId="0" borderId="15" xfId="19" quotePrefix="1" applyFont="1" applyBorder="1"/>
    <xf numFmtId="3" fontId="21" fillId="0" borderId="15" xfId="19" applyNumberFormat="1" applyFont="1" applyBorder="1"/>
    <xf numFmtId="0" fontId="19" fillId="33" borderId="15" xfId="19" applyFont="1" applyFill="1" applyBorder="1" applyAlignment="1">
      <alignment horizontal="right"/>
    </xf>
    <xf numFmtId="0" fontId="16" fillId="0" borderId="15" xfId="0" applyFont="1" applyBorder="1"/>
    <xf numFmtId="0" fontId="18" fillId="33" borderId="15" xfId="19" applyFill="1" applyBorder="1" applyAlignment="1">
      <alignment horizontal="right"/>
    </xf>
    <xf numFmtId="3" fontId="18" fillId="33" borderId="15" xfId="19" applyNumberFormat="1" applyFont="1" applyFill="1" applyBorder="1" applyAlignment="1"/>
    <xf numFmtId="0" fontId="0" fillId="0" borderId="15" xfId="0" applyBorder="1"/>
    <xf numFmtId="0" fontId="51" fillId="33" borderId="15" xfId="19" applyFont="1" applyFill="1" applyBorder="1" applyAlignment="1">
      <alignment horizontal="right"/>
    </xf>
    <xf numFmtId="0" fontId="21" fillId="33" borderId="15" xfId="19" applyFont="1" applyFill="1" applyBorder="1" applyAlignment="1"/>
    <xf numFmtId="0" fontId="18" fillId="0" borderId="15" xfId="19" applyBorder="1" applyAlignment="1">
      <alignment horizontal="center" vertical="center" wrapText="1"/>
    </xf>
    <xf numFmtId="0" fontId="0" fillId="0" borderId="0" xfId="0" applyAlignment="1"/>
    <xf numFmtId="0" fontId="18" fillId="0" borderId="0" xfId="19"/>
    <xf numFmtId="0" fontId="18" fillId="0" borderId="15" xfId="19" applyBorder="1"/>
    <xf numFmtId="0" fontId="18" fillId="0" borderId="15" xfId="19" applyBorder="1" applyAlignment="1">
      <alignment horizontal="center" vertical="center"/>
    </xf>
    <xf numFmtId="3" fontId="18" fillId="0" borderId="15" xfId="19" applyNumberFormat="1" applyBorder="1"/>
    <xf numFmtId="0" fontId="21" fillId="33" borderId="15" xfId="19" applyFont="1" applyFill="1" applyBorder="1"/>
    <xf numFmtId="0" fontId="21" fillId="33" borderId="15" xfId="19" applyFont="1" applyFill="1" applyBorder="1" applyAlignment="1">
      <alignment horizontal="right"/>
    </xf>
    <xf numFmtId="0" fontId="18" fillId="0" borderId="15" xfId="19" applyBorder="1" applyAlignment="1">
      <alignment horizontal="center" vertical="center"/>
    </xf>
    <xf numFmtId="0" fontId="0" fillId="0" borderId="0" xfId="0" applyAlignment="1">
      <alignment horizontal="right"/>
    </xf>
    <xf numFmtId="3" fontId="16" fillId="0" borderId="0" xfId="0" applyNumberFormat="1" applyFont="1"/>
    <xf numFmtId="0" fontId="52" fillId="0" borderId="15" xfId="0" applyFont="1" applyBorder="1"/>
    <xf numFmtId="0" fontId="52" fillId="0" borderId="15" xfId="0" applyFont="1" applyBorder="1" applyAlignment="1">
      <alignment horizontal="right"/>
    </xf>
    <xf numFmtId="3" fontId="52" fillId="0" borderId="15" xfId="0" applyNumberFormat="1" applyFont="1" applyBorder="1"/>
    <xf numFmtId="0" fontId="53" fillId="0" borderId="15" xfId="0" applyFont="1" applyBorder="1"/>
    <xf numFmtId="0" fontId="53" fillId="0" borderId="15" xfId="0" applyFont="1" applyBorder="1" applyAlignment="1">
      <alignment horizontal="right"/>
    </xf>
    <xf numFmtId="3" fontId="53" fillId="0" borderId="15" xfId="0" applyNumberFormat="1" applyFont="1" applyBorder="1"/>
    <xf numFmtId="0" fontId="52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2" fillId="0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8" fillId="0" borderId="15" xfId="19" applyBorder="1" applyAlignment="1">
      <alignment wrapText="1"/>
    </xf>
    <xf numFmtId="0" fontId="19" fillId="0" borderId="15" xfId="19" applyFont="1" applyBorder="1" applyAlignment="1">
      <alignment wrapText="1"/>
    </xf>
    <xf numFmtId="0" fontId="21" fillId="33" borderId="15" xfId="19" applyFont="1" applyFill="1" applyBorder="1" applyAlignment="1">
      <alignment wrapText="1"/>
    </xf>
    <xf numFmtId="0" fontId="21" fillId="33" borderId="15" xfId="19" applyFont="1" applyFill="1" applyBorder="1" applyAlignment="1">
      <alignment horizontal="left" wrapText="1"/>
    </xf>
    <xf numFmtId="0" fontId="51" fillId="33" borderId="15" xfId="19" applyFont="1" applyFill="1" applyBorder="1" applyAlignment="1">
      <alignment horizontal="left" wrapText="1"/>
    </xf>
    <xf numFmtId="0" fontId="18" fillId="33" borderId="15" xfId="19" applyFont="1" applyFill="1" applyBorder="1" applyAlignment="1">
      <alignment horizontal="left" wrapText="1"/>
    </xf>
    <xf numFmtId="0" fontId="18" fillId="33" borderId="15" xfId="19" applyFill="1" applyBorder="1" applyAlignment="1">
      <alignment horizontal="left" wrapText="1"/>
    </xf>
    <xf numFmtId="0" fontId="50" fillId="33" borderId="15" xfId="19" applyFont="1" applyFill="1" applyBorder="1" applyAlignment="1">
      <alignment wrapText="1"/>
    </xf>
    <xf numFmtId="0" fontId="52" fillId="0" borderId="0" xfId="0" applyFont="1"/>
    <xf numFmtId="0" fontId="53" fillId="0" borderId="0" xfId="0" applyFont="1"/>
    <xf numFmtId="0" fontId="52" fillId="0" borderId="15" xfId="0" applyFont="1" applyBorder="1" applyAlignment="1">
      <alignment horizontal="center" vertical="center" textRotation="90"/>
    </xf>
    <xf numFmtId="0" fontId="52" fillId="0" borderId="15" xfId="0" applyFont="1" applyBorder="1" applyAlignment="1">
      <alignment horizontal="center" vertical="center" textRotation="90" wrapText="1"/>
    </xf>
    <xf numFmtId="3" fontId="52" fillId="0" borderId="0" xfId="0" applyNumberFormat="1" applyFont="1"/>
    <xf numFmtId="0" fontId="55" fillId="0" borderId="15" xfId="0" applyFont="1" applyBorder="1"/>
    <xf numFmtId="3" fontId="55" fillId="0" borderId="15" xfId="0" applyNumberFormat="1" applyFont="1" applyBorder="1"/>
    <xf numFmtId="0" fontId="59" fillId="0" borderId="15" xfId="0" applyFont="1" applyBorder="1" applyAlignment="1">
      <alignment horizontal="center"/>
    </xf>
    <xf numFmtId="0" fontId="57" fillId="0" borderId="15" xfId="0" applyFont="1" applyBorder="1"/>
    <xf numFmtId="0" fontId="59" fillId="0" borderId="15" xfId="0" applyFont="1" applyBorder="1" applyAlignment="1">
      <alignment horizontal="left"/>
    </xf>
    <xf numFmtId="0" fontId="59" fillId="0" borderId="15" xfId="0" applyFont="1" applyBorder="1"/>
    <xf numFmtId="3" fontId="57" fillId="0" borderId="15" xfId="0" applyNumberFormat="1" applyFont="1" applyBorder="1"/>
    <xf numFmtId="3" fontId="59" fillId="0" borderId="15" xfId="0" applyNumberFormat="1" applyFont="1" applyBorder="1"/>
    <xf numFmtId="0" fontId="62" fillId="0" borderId="0" xfId="0" applyFont="1" applyAlignment="1"/>
    <xf numFmtId="0" fontId="21" fillId="0" borderId="0" xfId="0" applyFont="1"/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textRotation="90" wrapText="1"/>
    </xf>
    <xf numFmtId="0" fontId="57" fillId="0" borderId="15" xfId="0" applyFont="1" applyBorder="1" applyAlignment="1">
      <alignment horizontal="center" vertical="center" wrapText="1"/>
    </xf>
    <xf numFmtId="0" fontId="64" fillId="0" borderId="0" xfId="0" applyFont="1"/>
    <xf numFmtId="0" fontId="59" fillId="0" borderId="15" xfId="0" applyFont="1" applyBorder="1" applyAlignment="1">
      <alignment horizontal="right"/>
    </xf>
    <xf numFmtId="0" fontId="59" fillId="0" borderId="15" xfId="0" applyFont="1" applyBorder="1" applyAlignment="1">
      <alignment horizontal="center" wrapText="1"/>
    </xf>
    <xf numFmtId="0" fontId="65" fillId="0" borderId="15" xfId="0" applyFont="1" applyBorder="1" applyAlignment="1">
      <alignment horizontal="center"/>
    </xf>
    <xf numFmtId="0" fontId="20" fillId="0" borderId="0" xfId="0" applyFont="1"/>
    <xf numFmtId="0" fontId="59" fillId="0" borderId="15" xfId="0" quotePrefix="1" applyFont="1" applyBorder="1" applyAlignment="1">
      <alignment horizontal="right"/>
    </xf>
    <xf numFmtId="3" fontId="57" fillId="0" borderId="15" xfId="0" applyNumberFormat="1" applyFont="1" applyBorder="1" applyAlignment="1">
      <alignment horizontal="right"/>
    </xf>
    <xf numFmtId="3" fontId="59" fillId="0" borderId="15" xfId="0" applyNumberFormat="1" applyFont="1" applyBorder="1" applyAlignment="1">
      <alignment horizontal="right"/>
    </xf>
    <xf numFmtId="0" fontId="57" fillId="0" borderId="15" xfId="0" applyFont="1" applyFill="1" applyBorder="1" applyAlignment="1">
      <alignment wrapText="1"/>
    </xf>
    <xf numFmtId="0" fontId="59" fillId="0" borderId="15" xfId="0" quotePrefix="1" applyFont="1" applyFill="1" applyBorder="1" applyAlignment="1">
      <alignment horizontal="right"/>
    </xf>
    <xf numFmtId="3" fontId="57" fillId="0" borderId="15" xfId="0" quotePrefix="1" applyNumberFormat="1" applyFont="1" applyFill="1" applyBorder="1" applyAlignment="1">
      <alignment horizontal="right"/>
    </xf>
    <xf numFmtId="3" fontId="59" fillId="0" borderId="15" xfId="0" quotePrefix="1" applyNumberFormat="1" applyFont="1" applyFill="1" applyBorder="1" applyAlignment="1">
      <alignment horizontal="right"/>
    </xf>
    <xf numFmtId="3" fontId="57" fillId="0" borderId="15" xfId="0" applyNumberFormat="1" applyFont="1" applyFill="1" applyBorder="1"/>
    <xf numFmtId="0" fontId="51" fillId="0" borderId="0" xfId="0" applyFont="1"/>
    <xf numFmtId="0" fontId="59" fillId="0" borderId="0" xfId="0" applyFont="1" applyFill="1" applyBorder="1" applyAlignment="1">
      <alignment wrapText="1"/>
    </xf>
    <xf numFmtId="0" fontId="59" fillId="0" borderId="0" xfId="0" quotePrefix="1" applyFont="1" applyFill="1" applyBorder="1" applyAlignment="1">
      <alignment horizontal="right"/>
    </xf>
    <xf numFmtId="168" fontId="57" fillId="0" borderId="0" xfId="0" applyNumberFormat="1" applyFont="1" applyFill="1" applyBorder="1"/>
    <xf numFmtId="168" fontId="59" fillId="0" borderId="0" xfId="0" applyNumberFormat="1" applyFont="1" applyFill="1" applyBorder="1"/>
    <xf numFmtId="168" fontId="64" fillId="0" borderId="0" xfId="0" applyNumberFormat="1" applyFont="1" applyFill="1" applyBorder="1"/>
    <xf numFmtId="0" fontId="65" fillId="0" borderId="0" xfId="0" quotePrefix="1" applyFont="1" applyFill="1" applyBorder="1" applyAlignment="1">
      <alignment wrapText="1"/>
    </xf>
    <xf numFmtId="0" fontId="20" fillId="0" borderId="0" xfId="0" quotePrefix="1" applyFont="1" applyFill="1" applyBorder="1" applyAlignment="1">
      <alignment horizontal="right"/>
    </xf>
    <xf numFmtId="168" fontId="67" fillId="0" borderId="0" xfId="0" applyNumberFormat="1" applyFont="1" applyFill="1" applyBorder="1"/>
    <xf numFmtId="0" fontId="65" fillId="0" borderId="0" xfId="0" applyFont="1"/>
    <xf numFmtId="0" fontId="68" fillId="0" borderId="0" xfId="0" applyFont="1"/>
    <xf numFmtId="168" fontId="21" fillId="0" borderId="0" xfId="0" applyNumberFormat="1" applyFont="1"/>
    <xf numFmtId="168" fontId="0" fillId="0" borderId="0" xfId="0" applyNumberFormat="1"/>
    <xf numFmtId="3" fontId="69" fillId="0" borderId="15" xfId="0" applyNumberFormat="1" applyFont="1" applyFill="1" applyBorder="1"/>
    <xf numFmtId="3" fontId="70" fillId="0" borderId="15" xfId="0" applyNumberFormat="1" applyFont="1" applyFill="1" applyBorder="1"/>
    <xf numFmtId="0" fontId="71" fillId="0" borderId="0" xfId="0" applyFont="1"/>
    <xf numFmtId="0" fontId="22" fillId="0" borderId="0" xfId="0" applyFont="1"/>
    <xf numFmtId="0" fontId="72" fillId="0" borderId="0" xfId="0" applyFont="1"/>
    <xf numFmtId="0" fontId="59" fillId="0" borderId="29" xfId="0" applyFont="1" applyBorder="1" applyAlignment="1">
      <alignment horizontal="center" vertical="center" textRotation="90" wrapText="1"/>
    </xf>
    <xf numFmtId="0" fontId="59" fillId="0" borderId="33" xfId="0" applyFont="1" applyBorder="1" applyAlignment="1">
      <alignment horizontal="center" vertical="center" textRotation="90" wrapText="1"/>
    </xf>
    <xf numFmtId="0" fontId="59" fillId="0" borderId="31" xfId="0" applyFont="1" applyBorder="1" applyAlignment="1">
      <alignment horizontal="center" vertical="center" textRotation="90" wrapText="1"/>
    </xf>
    <xf numFmtId="0" fontId="52" fillId="0" borderId="36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7" fillId="0" borderId="39" xfId="0" applyFont="1" applyBorder="1"/>
    <xf numFmtId="0" fontId="57" fillId="0" borderId="33" xfId="0" applyFont="1" applyBorder="1"/>
    <xf numFmtId="0" fontId="57" fillId="0" borderId="40" xfId="0" applyFont="1" applyBorder="1"/>
    <xf numFmtId="3" fontId="57" fillId="0" borderId="41" xfId="0" applyNumberFormat="1" applyFont="1" applyBorder="1"/>
    <xf numFmtId="3" fontId="57" fillId="0" borderId="39" xfId="0" applyNumberFormat="1" applyFont="1" applyBorder="1"/>
    <xf numFmtId="3" fontId="57" fillId="0" borderId="33" xfId="0" applyNumberFormat="1" applyFont="1" applyBorder="1"/>
    <xf numFmtId="3" fontId="57" fillId="0" borderId="42" xfId="0" applyNumberFormat="1" applyFont="1" applyBorder="1"/>
    <xf numFmtId="3" fontId="72" fillId="0" borderId="43" xfId="0" applyNumberFormat="1" applyFont="1" applyBorder="1"/>
    <xf numFmtId="3" fontId="72" fillId="0" borderId="33" xfId="0" applyNumberFormat="1" applyFont="1" applyBorder="1"/>
    <xf numFmtId="3" fontId="72" fillId="0" borderId="42" xfId="0" applyNumberFormat="1" applyFont="1" applyBorder="1"/>
    <xf numFmtId="0" fontId="59" fillId="0" borderId="44" xfId="0" applyFont="1" applyBorder="1"/>
    <xf numFmtId="0" fontId="59" fillId="0" borderId="25" xfId="0" applyFont="1" applyBorder="1"/>
    <xf numFmtId="0" fontId="59" fillId="0" borderId="45" xfId="0" applyFont="1" applyBorder="1"/>
    <xf numFmtId="3" fontId="59" fillId="0" borderId="46" xfId="0" applyNumberFormat="1" applyFont="1" applyBorder="1"/>
    <xf numFmtId="3" fontId="59" fillId="0" borderId="25" xfId="0" applyNumberFormat="1" applyFont="1" applyBorder="1"/>
    <xf numFmtId="3" fontId="59" fillId="0" borderId="47" xfId="0" applyNumberFormat="1" applyFont="1" applyBorder="1"/>
    <xf numFmtId="0" fontId="59" fillId="0" borderId="48" xfId="0" applyFont="1" applyBorder="1"/>
    <xf numFmtId="0" fontId="59" fillId="0" borderId="26" xfId="0" applyFont="1" applyBorder="1"/>
    <xf numFmtId="3" fontId="59" fillId="0" borderId="50" xfId="0" applyNumberFormat="1" applyFont="1" applyBorder="1"/>
    <xf numFmtId="3" fontId="22" fillId="0" borderId="15" xfId="0" applyNumberFormat="1" applyFont="1" applyBorder="1"/>
    <xf numFmtId="3" fontId="22" fillId="0" borderId="50" xfId="0" applyNumberFormat="1" applyFont="1" applyBorder="1"/>
    <xf numFmtId="0" fontId="59" fillId="0" borderId="51" xfId="0" applyFont="1" applyBorder="1"/>
    <xf numFmtId="0" fontId="59" fillId="0" borderId="14" xfId="0" applyFont="1" applyBorder="1"/>
    <xf numFmtId="0" fontId="59" fillId="0" borderId="52" xfId="0" applyFont="1" applyBorder="1"/>
    <xf numFmtId="3" fontId="59" fillId="0" borderId="53" xfId="0" applyNumberFormat="1" applyFont="1" applyBorder="1"/>
    <xf numFmtId="3" fontId="59" fillId="0" borderId="14" xfId="0" applyNumberFormat="1" applyFont="1" applyBorder="1"/>
    <xf numFmtId="3" fontId="59" fillId="0" borderId="54" xfId="0" applyNumberFormat="1" applyFont="1" applyBorder="1"/>
    <xf numFmtId="0" fontId="59" fillId="0" borderId="56" xfId="0" applyFont="1" applyBorder="1"/>
    <xf numFmtId="0" fontId="59" fillId="0" borderId="57" xfId="0" applyFont="1" applyBorder="1"/>
    <xf numFmtId="0" fontId="59" fillId="0" borderId="58" xfId="0" applyFont="1" applyBorder="1"/>
    <xf numFmtId="3" fontId="59" fillId="0" borderId="59" xfId="0" applyNumberFormat="1" applyFont="1" applyBorder="1"/>
    <xf numFmtId="3" fontId="59" fillId="0" borderId="57" xfId="0" applyNumberFormat="1" applyFont="1" applyBorder="1"/>
    <xf numFmtId="3" fontId="59" fillId="0" borderId="60" xfId="0" applyNumberFormat="1" applyFont="1" applyBorder="1"/>
    <xf numFmtId="3" fontId="22" fillId="0" borderId="61" xfId="0" applyNumberFormat="1" applyFont="1" applyBorder="1"/>
    <xf numFmtId="3" fontId="22" fillId="0" borderId="57" xfId="0" applyNumberFormat="1" applyFont="1" applyBorder="1"/>
    <xf numFmtId="3" fontId="22" fillId="0" borderId="60" xfId="0" applyNumberFormat="1" applyFont="1" applyBorder="1"/>
    <xf numFmtId="3" fontId="59" fillId="0" borderId="44" xfId="0" applyNumberFormat="1" applyFont="1" applyBorder="1"/>
    <xf numFmtId="0" fontId="59" fillId="0" borderId="62" xfId="0" applyFont="1" applyBorder="1"/>
    <xf numFmtId="0" fontId="59" fillId="0" borderId="63" xfId="0" applyFont="1" applyBorder="1"/>
    <xf numFmtId="0" fontId="59" fillId="0" borderId="64" xfId="0" applyFont="1" applyBorder="1"/>
    <xf numFmtId="3" fontId="59" fillId="0" borderId="65" xfId="0" applyNumberFormat="1" applyFont="1" applyBorder="1"/>
    <xf numFmtId="3" fontId="59" fillId="0" borderId="63" xfId="0" applyNumberFormat="1" applyFont="1" applyBorder="1"/>
    <xf numFmtId="3" fontId="59" fillId="0" borderId="66" xfId="0" applyNumberFormat="1" applyFont="1" applyBorder="1"/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center"/>
    </xf>
    <xf numFmtId="0" fontId="66" fillId="0" borderId="0" xfId="0" applyFont="1"/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textRotation="90" wrapText="1"/>
    </xf>
    <xf numFmtId="0" fontId="65" fillId="0" borderId="14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0" fontId="69" fillId="0" borderId="15" xfId="0" applyFont="1" applyBorder="1" applyAlignment="1">
      <alignment horizontal="center"/>
    </xf>
    <xf numFmtId="0" fontId="69" fillId="0" borderId="15" xfId="0" applyFont="1" applyBorder="1"/>
    <xf numFmtId="0" fontId="65" fillId="0" borderId="15" xfId="0" applyFont="1" applyBorder="1"/>
    <xf numFmtId="0" fontId="70" fillId="0" borderId="15" xfId="0" applyFont="1" applyBorder="1" applyAlignment="1">
      <alignment wrapText="1"/>
    </xf>
    <xf numFmtId="3" fontId="69" fillId="0" borderId="15" xfId="0" applyNumberFormat="1" applyFont="1" applyBorder="1"/>
    <xf numFmtId="3" fontId="72" fillId="0" borderId="15" xfId="0" applyNumberFormat="1" applyFont="1" applyBorder="1"/>
    <xf numFmtId="3" fontId="69" fillId="0" borderId="15" xfId="23517" applyNumberFormat="1" applyFont="1" applyFill="1" applyBorder="1"/>
    <xf numFmtId="169" fontId="22" fillId="0" borderId="15" xfId="23517" applyNumberFormat="1" applyFont="1" applyFill="1" applyBorder="1"/>
    <xf numFmtId="169" fontId="68" fillId="0" borderId="15" xfId="23517" applyNumberFormat="1" applyFont="1" applyFill="1" applyBorder="1"/>
    <xf numFmtId="0" fontId="22" fillId="0" borderId="15" xfId="0" applyFont="1" applyBorder="1"/>
    <xf numFmtId="0" fontId="65" fillId="0" borderId="0" xfId="0" quotePrefix="1" applyFont="1"/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textRotation="90" wrapText="1"/>
    </xf>
    <xf numFmtId="0" fontId="72" fillId="0" borderId="34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72" fillId="0" borderId="67" xfId="0" applyFont="1" applyBorder="1"/>
    <xf numFmtId="0" fontId="72" fillId="0" borderId="67" xfId="0" applyFont="1" applyBorder="1" applyAlignment="1">
      <alignment horizontal="center"/>
    </xf>
    <xf numFmtId="0" fontId="72" fillId="0" borderId="68" xfId="0" applyFont="1" applyBorder="1"/>
    <xf numFmtId="0" fontId="72" fillId="0" borderId="69" xfId="0" applyFont="1" applyBorder="1" applyAlignment="1">
      <alignment wrapText="1"/>
    </xf>
    <xf numFmtId="0" fontId="22" fillId="0" borderId="68" xfId="0" applyFont="1" applyBorder="1" applyAlignment="1">
      <alignment horizontal="center"/>
    </xf>
    <xf numFmtId="0" fontId="72" fillId="0" borderId="33" xfId="0" applyFont="1" applyBorder="1"/>
    <xf numFmtId="0" fontId="72" fillId="0" borderId="33" xfId="0" quotePrefix="1" applyFont="1" applyBorder="1" applyAlignment="1">
      <alignment horizontal="center"/>
    </xf>
    <xf numFmtId="0" fontId="72" fillId="0" borderId="40" xfId="0" applyFont="1" applyBorder="1"/>
    <xf numFmtId="3" fontId="72" fillId="0" borderId="40" xfId="0" applyNumberFormat="1" applyFont="1" applyBorder="1"/>
    <xf numFmtId="3" fontId="72" fillId="0" borderId="41" xfId="0" applyNumberFormat="1" applyFont="1" applyBorder="1"/>
    <xf numFmtId="0" fontId="22" fillId="0" borderId="25" xfId="0" applyFont="1" applyBorder="1"/>
    <xf numFmtId="3" fontId="72" fillId="0" borderId="65" xfId="0" applyNumberFormat="1" applyFont="1" applyBorder="1"/>
    <xf numFmtId="0" fontId="22" fillId="0" borderId="15" xfId="0" applyFont="1" applyBorder="1" applyAlignment="1">
      <alignment horizontal="center"/>
    </xf>
    <xf numFmtId="3" fontId="72" fillId="0" borderId="49" xfId="0" applyNumberFormat="1" applyFont="1" applyBorder="1"/>
    <xf numFmtId="0" fontId="22" fillId="0" borderId="14" xfId="0" applyFont="1" applyBorder="1"/>
    <xf numFmtId="0" fontId="22" fillId="0" borderId="52" xfId="0" applyFont="1" applyBorder="1"/>
    <xf numFmtId="3" fontId="72" fillId="0" borderId="69" xfId="0" applyNumberFormat="1" applyFont="1" applyBorder="1"/>
    <xf numFmtId="3" fontId="22" fillId="0" borderId="33" xfId="0" applyNumberFormat="1" applyFont="1" applyBorder="1"/>
    <xf numFmtId="49" fontId="22" fillId="0" borderId="25" xfId="0" applyNumberFormat="1" applyFont="1" applyBorder="1" applyAlignment="1">
      <alignment horizontal="center"/>
    </xf>
    <xf numFmtId="3" fontId="22" fillId="0" borderId="43" xfId="0" applyNumberFormat="1" applyFont="1" applyBorder="1"/>
    <xf numFmtId="0" fontId="72" fillId="0" borderId="33" xfId="0" applyFont="1" applyBorder="1" applyAlignment="1">
      <alignment horizontal="center"/>
    </xf>
    <xf numFmtId="3" fontId="72" fillId="0" borderId="36" xfId="0" applyNumberFormat="1" applyFont="1" applyBorder="1"/>
    <xf numFmtId="170" fontId="59" fillId="0" borderId="15" xfId="23517" applyNumberFormat="1" applyFont="1" applyFill="1" applyBorder="1" applyAlignment="1">
      <alignment horizontal="center" vertical="center" wrapText="1"/>
    </xf>
    <xf numFmtId="170" fontId="57" fillId="0" borderId="15" xfId="23517" applyNumberFormat="1" applyFont="1" applyFill="1" applyBorder="1" applyAlignment="1">
      <alignment horizontal="center"/>
    </xf>
    <xf numFmtId="170" fontId="22" fillId="0" borderId="27" xfId="23517" applyNumberFormat="1" applyFont="1" applyFill="1" applyBorder="1" applyAlignment="1">
      <alignment horizontal="center" textRotation="90" wrapText="1"/>
    </xf>
    <xf numFmtId="170" fontId="57" fillId="0" borderId="15" xfId="23517" applyNumberFormat="1" applyFont="1" applyFill="1" applyBorder="1" applyAlignment="1">
      <alignment horizontal="center" wrapText="1"/>
    </xf>
    <xf numFmtId="1" fontId="59" fillId="0" borderId="15" xfId="23517" applyNumberFormat="1" applyFont="1" applyFill="1" applyBorder="1" applyAlignment="1">
      <alignment horizontal="center" wrapText="1"/>
    </xf>
    <xf numFmtId="1" fontId="59" fillId="0" borderId="15" xfId="23517" applyNumberFormat="1" applyFont="1" applyFill="1" applyBorder="1" applyAlignment="1">
      <alignment horizontal="center"/>
    </xf>
    <xf numFmtId="170" fontId="57" fillId="0" borderId="15" xfId="23517" applyNumberFormat="1" applyFont="1" applyFill="1" applyBorder="1" applyAlignment="1">
      <alignment horizontal="left" wrapText="1"/>
    </xf>
    <xf numFmtId="169" fontId="57" fillId="0" borderId="15" xfId="23517" applyNumberFormat="1" applyFont="1" applyFill="1" applyBorder="1"/>
    <xf numFmtId="3" fontId="57" fillId="0" borderId="15" xfId="23518" applyNumberFormat="1" applyFont="1" applyFill="1" applyBorder="1"/>
    <xf numFmtId="0" fontId="0" fillId="0" borderId="0" xfId="0" applyFill="1"/>
    <xf numFmtId="170" fontId="59" fillId="0" borderId="15" xfId="23517" applyNumberFormat="1" applyFont="1" applyFill="1" applyBorder="1"/>
    <xf numFmtId="3" fontId="59" fillId="0" borderId="15" xfId="23518" applyNumberFormat="1" applyFont="1" applyFill="1" applyBorder="1"/>
    <xf numFmtId="169" fontId="59" fillId="0" borderId="15" xfId="23517" applyNumberFormat="1" applyFont="1" applyFill="1" applyBorder="1"/>
    <xf numFmtId="170" fontId="59" fillId="0" borderId="15" xfId="23517" applyNumberFormat="1" applyFont="1" applyFill="1" applyBorder="1" applyAlignment="1">
      <alignment wrapText="1"/>
    </xf>
    <xf numFmtId="0" fontId="59" fillId="33" borderId="25" xfId="0" applyFont="1" applyFill="1" applyBorder="1"/>
    <xf numFmtId="0" fontId="59" fillId="33" borderId="15" xfId="0" applyFont="1" applyFill="1" applyBorder="1"/>
    <xf numFmtId="0" fontId="59" fillId="33" borderId="14" xfId="0" applyFont="1" applyFill="1" applyBorder="1"/>
    <xf numFmtId="3" fontId="59" fillId="0" borderId="56" xfId="0" applyNumberFormat="1" applyFont="1" applyBorder="1"/>
    <xf numFmtId="3" fontId="59" fillId="0" borderId="62" xfId="0" applyNumberFormat="1" applyFont="1" applyBorder="1"/>
    <xf numFmtId="3" fontId="70" fillId="0" borderId="15" xfId="0" applyNumberFormat="1" applyFont="1" applyBorder="1" applyAlignment="1">
      <alignment wrapText="1"/>
    </xf>
    <xf numFmtId="3" fontId="22" fillId="33" borderId="52" xfId="0" applyNumberFormat="1" applyFont="1" applyFill="1" applyBorder="1"/>
    <xf numFmtId="3" fontId="22" fillId="33" borderId="71" xfId="0" applyNumberFormat="1" applyFont="1" applyFill="1" applyBorder="1"/>
    <xf numFmtId="3" fontId="22" fillId="33" borderId="67" xfId="0" applyNumberFormat="1" applyFont="1" applyFill="1" applyBorder="1"/>
    <xf numFmtId="3" fontId="22" fillId="33" borderId="63" xfId="0" applyNumberFormat="1" applyFont="1" applyFill="1" applyBorder="1"/>
    <xf numFmtId="3" fontId="22" fillId="33" borderId="15" xfId="0" applyNumberFormat="1" applyFont="1" applyFill="1" applyBorder="1"/>
    <xf numFmtId="3" fontId="22" fillId="33" borderId="14" xfId="0" applyNumberFormat="1" applyFont="1" applyFill="1" applyBorder="1"/>
    <xf numFmtId="3" fontId="72" fillId="33" borderId="41" xfId="0" applyNumberFormat="1" applyFont="1" applyFill="1" applyBorder="1"/>
    <xf numFmtId="3" fontId="22" fillId="33" borderId="43" xfId="0" applyNumberFormat="1" applyFont="1" applyFill="1" applyBorder="1"/>
    <xf numFmtId="3" fontId="22" fillId="33" borderId="33" xfId="0" applyNumberFormat="1" applyFont="1" applyFill="1" applyBorder="1"/>
    <xf numFmtId="0" fontId="22" fillId="0" borderId="72" xfId="0" applyFont="1" applyBorder="1"/>
    <xf numFmtId="0" fontId="59" fillId="33" borderId="15" xfId="0" applyFont="1" applyFill="1" applyBorder="1" applyAlignment="1">
      <alignment horizontal="left" wrapText="1"/>
    </xf>
    <xf numFmtId="3" fontId="59" fillId="0" borderId="61" xfId="0" applyNumberFormat="1" applyFont="1" applyBorder="1"/>
    <xf numFmtId="0" fontId="59" fillId="0" borderId="57" xfId="0" quotePrefix="1" applyFont="1" applyBorder="1"/>
    <xf numFmtId="0" fontId="59" fillId="0" borderId="33" xfId="0" applyFont="1" applyBorder="1"/>
    <xf numFmtId="0" fontId="59" fillId="0" borderId="40" xfId="0" applyFont="1" applyBorder="1"/>
    <xf numFmtId="3" fontId="57" fillId="0" borderId="43" xfId="0" applyNumberFormat="1" applyFont="1" applyBorder="1"/>
    <xf numFmtId="0" fontId="52" fillId="0" borderId="73" xfId="0" applyFont="1" applyBorder="1" applyAlignment="1">
      <alignment horizontal="center" vertical="center"/>
    </xf>
    <xf numFmtId="3" fontId="53" fillId="0" borderId="74" xfId="0" applyNumberFormat="1" applyFont="1" applyBorder="1" applyAlignment="1">
      <alignment horizontal="center" vertical="center"/>
    </xf>
    <xf numFmtId="3" fontId="53" fillId="0" borderId="41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15" xfId="0" applyFont="1" applyBorder="1" applyAlignment="1">
      <alignment horizontal="left"/>
    </xf>
    <xf numFmtId="0" fontId="73" fillId="0" borderId="15" xfId="0" quotePrefix="1" applyFont="1" applyBorder="1" applyAlignment="1">
      <alignment horizontal="right"/>
    </xf>
    <xf numFmtId="0" fontId="73" fillId="0" borderId="15" xfId="0" applyFont="1" applyBorder="1"/>
    <xf numFmtId="3" fontId="73" fillId="0" borderId="15" xfId="0" applyNumberFormat="1" applyFont="1" applyBorder="1"/>
    <xf numFmtId="3" fontId="73" fillId="0" borderId="15" xfId="0" quotePrefix="1" applyNumberFormat="1" applyFont="1" applyBorder="1" applyAlignment="1">
      <alignment horizontal="right"/>
    </xf>
    <xf numFmtId="3" fontId="74" fillId="0" borderId="15" xfId="0" applyNumberFormat="1" applyFont="1" applyBorder="1" applyAlignment="1">
      <alignment horizontal="right"/>
    </xf>
    <xf numFmtId="3" fontId="73" fillId="0" borderId="15" xfId="0" applyNumberFormat="1" applyFont="1" applyBorder="1" applyAlignment="1">
      <alignment horizontal="right"/>
    </xf>
    <xf numFmtId="0" fontId="52" fillId="0" borderId="0" xfId="0" applyFont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18" fillId="33" borderId="15" xfId="19" applyFill="1" applyBorder="1"/>
    <xf numFmtId="0" fontId="18" fillId="33" borderId="15" xfId="19" applyFill="1" applyBorder="1" applyAlignment="1">
      <alignment wrapText="1"/>
    </xf>
    <xf numFmtId="0" fontId="69" fillId="33" borderId="15" xfId="0" applyFont="1" applyFill="1" applyBorder="1"/>
    <xf numFmtId="3" fontId="69" fillId="33" borderId="15" xfId="0" applyNumberFormat="1" applyFont="1" applyFill="1" applyBorder="1"/>
    <xf numFmtId="0" fontId="59" fillId="0" borderId="71" xfId="0" applyFont="1" applyBorder="1"/>
    <xf numFmtId="0" fontId="59" fillId="0" borderId="67" xfId="0" quotePrefix="1" applyFont="1" applyBorder="1"/>
    <xf numFmtId="3" fontId="57" fillId="33" borderId="15" xfId="0" quotePrefix="1" applyNumberFormat="1" applyFont="1" applyFill="1" applyBorder="1" applyAlignment="1">
      <alignment horizontal="right"/>
    </xf>
    <xf numFmtId="3" fontId="59" fillId="33" borderId="15" xfId="0" quotePrefix="1" applyNumberFormat="1" applyFont="1" applyFill="1" applyBorder="1" applyAlignment="1">
      <alignment horizontal="right"/>
    </xf>
    <xf numFmtId="3" fontId="57" fillId="33" borderId="15" xfId="0" applyNumberFormat="1" applyFont="1" applyFill="1" applyBorder="1"/>
    <xf numFmtId="0" fontId="57" fillId="33" borderId="15" xfId="0" applyFont="1" applyFill="1" applyBorder="1" applyAlignment="1">
      <alignment wrapText="1"/>
    </xf>
    <xf numFmtId="170" fontId="59" fillId="0" borderId="15" xfId="23517" applyNumberFormat="1" applyFont="1" applyFill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/>
    </xf>
    <xf numFmtId="0" fontId="22" fillId="0" borderId="52" xfId="0" applyFont="1" applyBorder="1" applyAlignment="1">
      <alignment horizontal="center" vertical="center" textRotation="90"/>
    </xf>
    <xf numFmtId="0" fontId="22" fillId="0" borderId="55" xfId="0" applyFont="1" applyBorder="1" applyAlignment="1">
      <alignment vertical="center" textRotation="90" wrapText="1"/>
    </xf>
    <xf numFmtId="0" fontId="72" fillId="0" borderId="53" xfId="0" applyFont="1" applyBorder="1" applyAlignment="1">
      <alignment horizontal="center" vertical="center" wrapText="1"/>
    </xf>
    <xf numFmtId="0" fontId="59" fillId="0" borderId="50" xfId="0" applyFont="1" applyBorder="1"/>
    <xf numFmtId="0" fontId="19" fillId="33" borderId="15" xfId="19" applyFont="1" applyFill="1" applyBorder="1" applyAlignment="1">
      <alignment horizontal="left" wrapText="1"/>
    </xf>
    <xf numFmtId="0" fontId="18" fillId="0" borderId="24" xfId="19" applyBorder="1" applyAlignment="1">
      <alignment horizontal="right" wrapText="1"/>
    </xf>
    <xf numFmtId="0" fontId="75" fillId="33" borderId="15" xfId="19" applyFont="1" applyFill="1" applyBorder="1" applyAlignment="1">
      <alignment horizontal="right"/>
    </xf>
    <xf numFmtId="0" fontId="75" fillId="33" borderId="15" xfId="19" applyFont="1" applyFill="1" applyBorder="1" applyAlignment="1">
      <alignment horizontal="left" wrapText="1"/>
    </xf>
    <xf numFmtId="0" fontId="21" fillId="33" borderId="15" xfId="19" applyFont="1" applyFill="1" applyBorder="1" applyAlignment="1">
      <alignment horizontal="left" indent="1"/>
    </xf>
    <xf numFmtId="3" fontId="21" fillId="0" borderId="15" xfId="19" applyNumberFormat="1" applyFont="1" applyBorder="1" applyAlignment="1">
      <alignment horizontal="right" vertical="center"/>
    </xf>
    <xf numFmtId="3" fontId="19" fillId="33" borderId="15" xfId="19" applyNumberFormat="1" applyFont="1" applyFill="1" applyBorder="1" applyAlignment="1"/>
    <xf numFmtId="0" fontId="54" fillId="0" borderId="0" xfId="0" applyFont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4" fillId="0" borderId="0" xfId="0" applyFont="1" applyAlignment="1"/>
    <xf numFmtId="0" fontId="71" fillId="0" borderId="0" xfId="19" applyFont="1" applyFill="1" applyBorder="1" applyAlignment="1"/>
    <xf numFmtId="3" fontId="54" fillId="0" borderId="0" xfId="0" applyNumberFormat="1" applyFont="1" applyAlignment="1">
      <alignment vertical="center" wrapText="1"/>
    </xf>
    <xf numFmtId="3" fontId="54" fillId="0" borderId="28" xfId="0" applyNumberFormat="1" applyFont="1" applyBorder="1" applyAlignment="1">
      <alignment vertical="center" wrapText="1"/>
    </xf>
    <xf numFmtId="0" fontId="54" fillId="0" borderId="0" xfId="0" applyFont="1"/>
    <xf numFmtId="169" fontId="57" fillId="0" borderId="15" xfId="23517" applyNumberFormat="1" applyFont="1" applyFill="1" applyBorder="1" applyAlignment="1">
      <alignment horizontal="right"/>
    </xf>
    <xf numFmtId="3" fontId="57" fillId="0" borderId="15" xfId="23518" applyNumberFormat="1" applyFont="1" applyFill="1" applyBorder="1" applyAlignment="1">
      <alignment horizontal="right"/>
    </xf>
    <xf numFmtId="0" fontId="22" fillId="0" borderId="6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textRotation="90" wrapText="1"/>
    </xf>
    <xf numFmtId="3" fontId="51" fillId="33" borderId="15" xfId="19" applyNumberFormat="1" applyFont="1" applyFill="1" applyBorder="1" applyAlignment="1"/>
    <xf numFmtId="0" fontId="76" fillId="0" borderId="0" xfId="0" applyFont="1"/>
    <xf numFmtId="0" fontId="21" fillId="33" borderId="15" xfId="19" quotePrefix="1" applyFont="1" applyFill="1" applyBorder="1" applyAlignment="1">
      <alignment horizontal="right"/>
    </xf>
    <xf numFmtId="0" fontId="53" fillId="0" borderId="15" xfId="0" applyFont="1" applyBorder="1" applyAlignment="1">
      <alignment wrapText="1"/>
    </xf>
    <xf numFmtId="3" fontId="75" fillId="33" borderId="15" xfId="19" applyNumberFormat="1" applyFont="1" applyFill="1" applyBorder="1" applyAlignment="1"/>
    <xf numFmtId="0" fontId="77" fillId="0" borderId="15" xfId="0" applyFont="1" applyBorder="1"/>
    <xf numFmtId="0" fontId="77" fillId="0" borderId="0" xfId="0" applyFont="1"/>
    <xf numFmtId="0" fontId="18" fillId="33" borderId="15" xfId="19" applyFont="1" applyFill="1" applyBorder="1" applyAlignment="1">
      <alignment horizontal="right"/>
    </xf>
    <xf numFmtId="0" fontId="18" fillId="33" borderId="15" xfId="19" applyFont="1" applyFill="1" applyBorder="1" applyAlignment="1">
      <alignment horizontal="left" indent="1"/>
    </xf>
    <xf numFmtId="0" fontId="19" fillId="0" borderId="15" xfId="19" quotePrefix="1" applyFont="1" applyBorder="1" applyAlignment="1">
      <alignment horizontal="left"/>
    </xf>
    <xf numFmtId="0" fontId="55" fillId="0" borderId="15" xfId="0" applyFont="1" applyBorder="1" applyAlignment="1">
      <alignment horizontal="right"/>
    </xf>
    <xf numFmtId="0" fontId="55" fillId="0" borderId="15" xfId="0" applyFont="1" applyBorder="1" applyAlignment="1">
      <alignment wrapText="1"/>
    </xf>
    <xf numFmtId="0" fontId="53" fillId="0" borderId="15" xfId="0" quotePrefix="1" applyFont="1" applyBorder="1"/>
    <xf numFmtId="3" fontId="76" fillId="0" borderId="0" xfId="0" applyNumberFormat="1" applyFont="1"/>
    <xf numFmtId="0" fontId="55" fillId="0" borderId="15" xfId="0" quotePrefix="1" applyFont="1" applyBorder="1"/>
    <xf numFmtId="0" fontId="55" fillId="33" borderId="15" xfId="0" applyFont="1" applyFill="1" applyBorder="1" applyAlignment="1">
      <alignment wrapText="1"/>
    </xf>
    <xf numFmtId="0" fontId="55" fillId="0" borderId="15" xfId="0" quotePrefix="1" applyFont="1" applyBorder="1" applyAlignment="1">
      <alignment horizontal="right"/>
    </xf>
    <xf numFmtId="0" fontId="55" fillId="0" borderId="15" xfId="0" applyFont="1" applyFill="1" applyBorder="1" applyAlignment="1">
      <alignment wrapText="1"/>
    </xf>
    <xf numFmtId="0" fontId="53" fillId="0" borderId="15" xfId="0" quotePrefix="1" applyFont="1" applyBorder="1" applyAlignment="1">
      <alignment horizontal="right"/>
    </xf>
    <xf numFmtId="3" fontId="59" fillId="0" borderId="15" xfId="0" applyNumberFormat="1" applyFont="1" applyFill="1" applyBorder="1"/>
    <xf numFmtId="1" fontId="52" fillId="0" borderId="15" xfId="0" applyNumberFormat="1" applyFont="1" applyBorder="1"/>
    <xf numFmtId="3" fontId="59" fillId="33" borderId="15" xfId="0" applyNumberFormat="1" applyFont="1" applyFill="1" applyBorder="1"/>
    <xf numFmtId="3" fontId="60" fillId="33" borderId="15" xfId="0" quotePrefix="1" applyNumberFormat="1" applyFont="1" applyFill="1" applyBorder="1" applyAlignment="1">
      <alignment horizontal="right"/>
    </xf>
    <xf numFmtId="3" fontId="60" fillId="0" borderId="15" xfId="0" quotePrefix="1" applyNumberFormat="1" applyFont="1" applyFill="1" applyBorder="1" applyAlignment="1">
      <alignment horizontal="right"/>
    </xf>
    <xf numFmtId="1" fontId="59" fillId="0" borderId="15" xfId="0" applyNumberFormat="1" applyFont="1" applyBorder="1"/>
    <xf numFmtId="168" fontId="63" fillId="0" borderId="15" xfId="0" applyNumberFormat="1" applyFont="1" applyFill="1" applyBorder="1" applyAlignment="1">
      <alignment horizontal="center" vertical="center" textRotation="90" wrapText="1"/>
    </xf>
    <xf numFmtId="0" fontId="63" fillId="0" borderId="15" xfId="0" applyFont="1" applyFill="1" applyBorder="1" applyAlignment="1">
      <alignment horizontal="center" vertical="center" textRotation="90" wrapText="1"/>
    </xf>
    <xf numFmtId="0" fontId="59" fillId="0" borderId="15" xfId="0" applyFont="1" applyFill="1" applyBorder="1" applyAlignment="1">
      <alignment horizontal="center" vertical="center" textRotation="90" wrapText="1"/>
    </xf>
    <xf numFmtId="0" fontId="30" fillId="0" borderId="0" xfId="56"/>
    <xf numFmtId="0" fontId="30" fillId="0" borderId="0" xfId="56" applyAlignment="1">
      <alignment horizontal="center"/>
    </xf>
    <xf numFmtId="0" fontId="52" fillId="0" borderId="15" xfId="56" applyFont="1" applyBorder="1" applyAlignment="1">
      <alignment horizontal="center" wrapText="1"/>
    </xf>
    <xf numFmtId="0" fontId="52" fillId="0" borderId="15" xfId="56" applyFont="1" applyBorder="1" applyAlignment="1">
      <alignment horizontal="center"/>
    </xf>
    <xf numFmtId="3" fontId="30" fillId="0" borderId="0" xfId="56" applyNumberFormat="1"/>
    <xf numFmtId="3" fontId="61" fillId="0" borderId="15" xfId="56" applyNumberFormat="1" applyFont="1" applyBorder="1" applyAlignment="1">
      <alignment horizontal="center" wrapText="1"/>
    </xf>
    <xf numFmtId="0" fontId="53" fillId="0" borderId="15" xfId="56" applyFont="1" applyBorder="1" applyAlignment="1">
      <alignment horizontal="left" wrapText="1"/>
    </xf>
    <xf numFmtId="3" fontId="53" fillId="0" borderId="15" xfId="56" applyNumberFormat="1" applyFont="1" applyBorder="1" applyAlignment="1">
      <alignment horizontal="right" wrapText="1"/>
    </xf>
    <xf numFmtId="0" fontId="59" fillId="0" borderId="15" xfId="56" applyFont="1" applyBorder="1" applyAlignment="1">
      <alignment horizontal="center"/>
    </xf>
    <xf numFmtId="0" fontId="57" fillId="0" borderId="15" xfId="56" applyFont="1" applyBorder="1"/>
    <xf numFmtId="3" fontId="57" fillId="0" borderId="15" xfId="56" applyNumberFormat="1" applyFont="1" applyBorder="1" applyAlignment="1">
      <alignment horizontal="right" wrapText="1"/>
    </xf>
    <xf numFmtId="0" fontId="57" fillId="0" borderId="26" xfId="56" applyFont="1" applyBorder="1" applyAlignment="1">
      <alignment horizontal="left" wrapText="1"/>
    </xf>
    <xf numFmtId="0" fontId="59" fillId="0" borderId="15" xfId="56" applyFont="1" applyBorder="1" applyAlignment="1">
      <alignment horizontal="left"/>
    </xf>
    <xf numFmtId="0" fontId="59" fillId="0" borderId="15" xfId="56" quotePrefix="1" applyFont="1" applyBorder="1" applyAlignment="1">
      <alignment horizontal="center"/>
    </xf>
    <xf numFmtId="0" fontId="59" fillId="0" borderId="15" xfId="56" applyFont="1" applyBorder="1"/>
    <xf numFmtId="3" fontId="59" fillId="0" borderId="15" xfId="56" applyNumberFormat="1" applyFont="1" applyBorder="1" applyAlignment="1">
      <alignment horizontal="right" wrapText="1"/>
    </xf>
    <xf numFmtId="0" fontId="59" fillId="0" borderId="15" xfId="56" applyFont="1" applyBorder="1" applyAlignment="1"/>
    <xf numFmtId="0" fontId="57" fillId="0" borderId="15" xfId="56" applyFont="1" applyBorder="1" applyAlignment="1">
      <alignment horizontal="center"/>
    </xf>
    <xf numFmtId="3" fontId="57" fillId="0" borderId="15" xfId="56" applyNumberFormat="1" applyFont="1" applyBorder="1"/>
    <xf numFmtId="0" fontId="60" fillId="0" borderId="15" xfId="56" applyFont="1" applyBorder="1" applyAlignment="1">
      <alignment wrapText="1"/>
    </xf>
    <xf numFmtId="3" fontId="59" fillId="0" borderId="15" xfId="56" applyNumberFormat="1" applyFont="1" applyBorder="1"/>
    <xf numFmtId="0" fontId="57" fillId="0" borderId="15" xfId="56" quotePrefix="1" applyFont="1" applyBorder="1" applyAlignment="1">
      <alignment horizontal="center"/>
    </xf>
    <xf numFmtId="0" fontId="61" fillId="0" borderId="15" xfId="56" applyFont="1" applyBorder="1" applyAlignment="1">
      <alignment wrapText="1"/>
    </xf>
    <xf numFmtId="0" fontId="52" fillId="0" borderId="15" xfId="56" applyFont="1" applyBorder="1"/>
    <xf numFmtId="0" fontId="60" fillId="0" borderId="15" xfId="56" applyFont="1" applyBorder="1"/>
    <xf numFmtId="0" fontId="59" fillId="0" borderId="0" xfId="56" applyFont="1" applyAlignment="1">
      <alignment vertical="center"/>
    </xf>
    <xf numFmtId="0" fontId="52" fillId="0" borderId="0" xfId="56" applyFont="1"/>
    <xf numFmtId="0" fontId="59" fillId="0" borderId="15" xfId="56" applyFont="1" applyBorder="1" applyAlignment="1">
      <alignment wrapText="1"/>
    </xf>
    <xf numFmtId="0" fontId="53" fillId="0" borderId="15" xfId="56" quotePrefix="1" applyFont="1" applyBorder="1" applyAlignment="1">
      <alignment horizontal="center"/>
    </xf>
    <xf numFmtId="0" fontId="53" fillId="0" borderId="15" xfId="56" applyFont="1" applyBorder="1"/>
    <xf numFmtId="3" fontId="53" fillId="0" borderId="15" xfId="56" applyNumberFormat="1" applyFont="1" applyBorder="1"/>
    <xf numFmtId="0" fontId="52" fillId="0" borderId="15" xfId="56" applyFont="1" applyBorder="1" applyAlignment="1">
      <alignment wrapText="1"/>
    </xf>
    <xf numFmtId="0" fontId="52" fillId="0" borderId="15" xfId="56" quotePrefix="1" applyFont="1" applyBorder="1" applyAlignment="1">
      <alignment horizontal="center"/>
    </xf>
    <xf numFmtId="3" fontId="52" fillId="0" borderId="15" xfId="56" applyNumberFormat="1" applyFont="1" applyBorder="1"/>
    <xf numFmtId="0" fontId="78" fillId="0" borderId="0" xfId="56" applyFont="1"/>
    <xf numFmtId="0" fontId="79" fillId="0" borderId="0" xfId="56" applyFont="1"/>
    <xf numFmtId="0" fontId="68" fillId="0" borderId="0" xfId="56" applyFont="1"/>
    <xf numFmtId="0" fontId="59" fillId="33" borderId="15" xfId="0" quotePrefix="1" applyFont="1" applyFill="1" applyBorder="1"/>
    <xf numFmtId="0" fontId="59" fillId="0" borderId="25" xfId="0" quotePrefix="1" applyFont="1" applyBorder="1"/>
    <xf numFmtId="0" fontId="82" fillId="0" borderId="15" xfId="0" quotePrefix="1" applyFont="1" applyBorder="1" applyAlignment="1">
      <alignment horizontal="right"/>
    </xf>
    <xf numFmtId="0" fontId="82" fillId="0" borderId="15" xfId="0" applyFont="1" applyBorder="1"/>
    <xf numFmtId="0" fontId="71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72" fillId="0" borderId="0" xfId="0" applyFont="1" applyBorder="1"/>
    <xf numFmtId="0" fontId="72" fillId="0" borderId="69" xfId="0" applyFont="1" applyBorder="1" applyAlignment="1">
      <alignment horizontal="center" wrapText="1"/>
    </xf>
    <xf numFmtId="0" fontId="22" fillId="0" borderId="63" xfId="0" applyFont="1" applyBorder="1" applyAlignment="1">
      <alignment horizontal="center"/>
    </xf>
    <xf numFmtId="0" fontId="22" fillId="0" borderId="66" xfId="0" applyFont="1" applyBorder="1"/>
    <xf numFmtId="3" fontId="72" fillId="33" borderId="65" xfId="0" applyNumberFormat="1" applyFont="1" applyFill="1" applyBorder="1"/>
    <xf numFmtId="3" fontId="22" fillId="33" borderId="62" xfId="0" applyNumberFormat="1" applyFont="1" applyFill="1" applyBorder="1"/>
    <xf numFmtId="3" fontId="22" fillId="0" borderId="63" xfId="0" applyNumberFormat="1" applyFont="1" applyBorder="1"/>
    <xf numFmtId="3" fontId="22" fillId="33" borderId="66" xfId="0" applyNumberFormat="1" applyFont="1" applyFill="1" applyBorder="1"/>
    <xf numFmtId="3" fontId="22" fillId="0" borderId="62" xfId="0" applyNumberFormat="1" applyFont="1" applyBorder="1"/>
    <xf numFmtId="3" fontId="22" fillId="0" borderId="66" xfId="0" applyNumberFormat="1" applyFont="1" applyBorder="1"/>
    <xf numFmtId="0" fontId="22" fillId="0" borderId="50" xfId="0" applyFont="1" applyBorder="1"/>
    <xf numFmtId="3" fontId="72" fillId="33" borderId="49" xfId="0" applyNumberFormat="1" applyFont="1" applyFill="1" applyBorder="1"/>
    <xf numFmtId="3" fontId="22" fillId="33" borderId="48" xfId="0" applyNumberFormat="1" applyFont="1" applyFill="1" applyBorder="1"/>
    <xf numFmtId="3" fontId="22" fillId="33" borderId="50" xfId="0" applyNumberFormat="1" applyFont="1" applyFill="1" applyBorder="1"/>
    <xf numFmtId="3" fontId="22" fillId="0" borderId="48" xfId="0" applyNumberFormat="1" applyFont="1" applyBorder="1"/>
    <xf numFmtId="0" fontId="22" fillId="0" borderId="67" xfId="0" applyFont="1" applyBorder="1"/>
    <xf numFmtId="0" fontId="22" fillId="0" borderId="75" xfId="0" applyFont="1" applyBorder="1"/>
    <xf numFmtId="3" fontId="72" fillId="33" borderId="69" xfId="0" applyNumberFormat="1" applyFont="1" applyFill="1" applyBorder="1"/>
    <xf numFmtId="3" fontId="22" fillId="0" borderId="67" xfId="0" applyNumberFormat="1" applyFont="1" applyBorder="1"/>
    <xf numFmtId="3" fontId="22" fillId="33" borderId="75" xfId="0" applyNumberFormat="1" applyFont="1" applyFill="1" applyBorder="1"/>
    <xf numFmtId="3" fontId="22" fillId="0" borderId="71" xfId="0" applyNumberFormat="1" applyFont="1" applyBorder="1"/>
    <xf numFmtId="3" fontId="22" fillId="0" borderId="75" xfId="0" applyNumberFormat="1" applyFont="1" applyBorder="1"/>
    <xf numFmtId="3" fontId="22" fillId="0" borderId="0" xfId="0" applyNumberFormat="1" applyFont="1"/>
    <xf numFmtId="0" fontId="18" fillId="0" borderId="15" xfId="19" applyBorder="1" applyAlignment="1">
      <alignment horizontal="center" vertical="center"/>
    </xf>
    <xf numFmtId="0" fontId="18" fillId="0" borderId="26" xfId="19" pivotButton="1" applyBorder="1" applyAlignment="1">
      <alignment horizontal="right" wrapText="1"/>
    </xf>
    <xf numFmtId="0" fontId="18" fillId="0" borderId="24" xfId="19" pivotButton="1" applyBorder="1" applyAlignment="1">
      <alignment horizontal="right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" fontId="52" fillId="0" borderId="15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Alignment="1"/>
    <xf numFmtId="0" fontId="59" fillId="0" borderId="29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textRotation="90" wrapText="1"/>
    </xf>
    <xf numFmtId="0" fontId="52" fillId="0" borderId="3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 textRotation="90"/>
    </xf>
    <xf numFmtId="0" fontId="52" fillId="0" borderId="37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18" fillId="0" borderId="26" xfId="19" applyBorder="1" applyAlignment="1">
      <alignment horizontal="right" wrapText="1"/>
    </xf>
    <xf numFmtId="0" fontId="18" fillId="0" borderId="24" xfId="19" applyBorder="1" applyAlignment="1">
      <alignment horizontal="right" wrapText="1"/>
    </xf>
    <xf numFmtId="0" fontId="57" fillId="0" borderId="26" xfId="56" applyFont="1" applyBorder="1" applyAlignment="1">
      <alignment wrapText="1"/>
    </xf>
    <xf numFmtId="0" fontId="57" fillId="0" borderId="24" xfId="56" applyFont="1" applyBorder="1" applyAlignment="1">
      <alignment wrapText="1"/>
    </xf>
    <xf numFmtId="0" fontId="57" fillId="0" borderId="15" xfId="56" applyFont="1" applyBorder="1" applyAlignment="1">
      <alignment wrapText="1"/>
    </xf>
    <xf numFmtId="0" fontId="53" fillId="0" borderId="15" xfId="56" applyFont="1" applyBorder="1" applyAlignment="1">
      <alignment wrapText="1"/>
    </xf>
    <xf numFmtId="0" fontId="52" fillId="0" borderId="0" xfId="56" applyFont="1" applyAlignment="1">
      <alignment horizontal="center"/>
    </xf>
    <xf numFmtId="0" fontId="53" fillId="0" borderId="26" xfId="56" applyFont="1" applyBorder="1" applyAlignment="1">
      <alignment horizontal="left" wrapText="1"/>
    </xf>
    <xf numFmtId="0" fontId="56" fillId="0" borderId="24" xfId="56" applyFont="1" applyBorder="1" applyAlignment="1">
      <alignment horizontal="left" wrapText="1"/>
    </xf>
    <xf numFmtId="0" fontId="56" fillId="0" borderId="24" xfId="56" applyFont="1" applyBorder="1" applyAlignment="1">
      <alignment horizontal="left"/>
    </xf>
    <xf numFmtId="0" fontId="57" fillId="0" borderId="26" xfId="56" applyFont="1" applyBorder="1" applyAlignment="1">
      <alignment horizontal="left" wrapText="1"/>
    </xf>
    <xf numFmtId="0" fontId="58" fillId="0" borderId="24" xfId="56" applyFont="1" applyBorder="1" applyAlignment="1">
      <alignment horizontal="left"/>
    </xf>
  </cellXfs>
  <cellStyles count="23520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8"/>
    <cellStyle name="Comma 5" xfId="23519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" xfId="23517" builtinId="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4"/>
  <sheetViews>
    <sheetView tabSelected="1" topLeftCell="A320" zoomScale="90" zoomScaleNormal="90" workbookViewId="0">
      <selection activeCell="F334" sqref="F334"/>
    </sheetView>
  </sheetViews>
  <sheetFormatPr defaultRowHeight="15" x14ac:dyDescent="0.25"/>
  <cols>
    <col min="1" max="1" width="7.85546875" style="21" customWidth="1"/>
    <col min="2" max="2" width="8" customWidth="1"/>
    <col min="3" max="3" width="31.5703125" customWidth="1"/>
    <col min="4" max="4" width="11.85546875" customWidth="1"/>
    <col min="5" max="5" width="12" customWidth="1"/>
    <col min="6" max="6" width="12.42578125" customWidth="1"/>
    <col min="7" max="7" width="11.140625" customWidth="1"/>
    <col min="8" max="8" width="11" bestFit="1" customWidth="1"/>
    <col min="9" max="9" width="10.85546875" customWidth="1"/>
    <col min="10" max="10" width="14.140625" customWidth="1"/>
  </cols>
  <sheetData>
    <row r="1" spans="1:10" s="2" customFormat="1" ht="15" customHeight="1" x14ac:dyDescent="0.25">
      <c r="A1" s="21"/>
      <c r="C1" s="276"/>
      <c r="D1" s="276"/>
      <c r="E1" s="276"/>
      <c r="F1" s="276"/>
      <c r="G1" s="276"/>
      <c r="H1" s="276"/>
    </row>
    <row r="2" spans="1:10" ht="15" customHeight="1" x14ac:dyDescent="0.25">
      <c r="A2" s="278" t="s">
        <v>438</v>
      </c>
      <c r="C2" s="276"/>
      <c r="D2" s="276"/>
      <c r="E2" s="276"/>
      <c r="F2" s="276"/>
      <c r="G2" s="276"/>
      <c r="H2" s="276"/>
    </row>
    <row r="3" spans="1:10" ht="15.75" x14ac:dyDescent="0.25">
      <c r="A3" s="279" t="s">
        <v>433</v>
      </c>
      <c r="B3" s="22"/>
      <c r="C3" s="277"/>
      <c r="D3" s="277"/>
      <c r="E3" s="277"/>
      <c r="F3" s="277"/>
      <c r="G3" s="277"/>
      <c r="H3" s="277"/>
      <c r="I3" s="22"/>
      <c r="J3" s="22"/>
    </row>
    <row r="4" spans="1:10" x14ac:dyDescent="0.25">
      <c r="A4" s="386"/>
      <c r="B4" s="387"/>
      <c r="C4" s="388"/>
      <c r="D4" s="383" t="s">
        <v>101</v>
      </c>
      <c r="E4" s="383"/>
      <c r="F4" s="383"/>
      <c r="G4" s="383" t="s">
        <v>432</v>
      </c>
      <c r="H4" s="383"/>
      <c r="I4" s="383"/>
      <c r="J4" s="383" t="s">
        <v>106</v>
      </c>
    </row>
    <row r="5" spans="1:10" ht="25.5" customHeight="1" x14ac:dyDescent="0.25">
      <c r="A5" s="384" t="s">
        <v>110</v>
      </c>
      <c r="B5" s="385"/>
      <c r="C5" s="20" t="s">
        <v>109</v>
      </c>
      <c r="D5" s="24" t="s">
        <v>103</v>
      </c>
      <c r="E5" s="24" t="s">
        <v>104</v>
      </c>
      <c r="F5" s="24" t="s">
        <v>105</v>
      </c>
      <c r="G5" s="20" t="s">
        <v>107</v>
      </c>
      <c r="H5" s="20" t="s">
        <v>108</v>
      </c>
      <c r="I5" s="24" t="s">
        <v>105</v>
      </c>
      <c r="J5" s="383"/>
    </row>
    <row r="6" spans="1:10" x14ac:dyDescent="0.25">
      <c r="A6" s="44"/>
      <c r="B6" s="17"/>
      <c r="C6" s="45"/>
      <c r="D6" s="12">
        <f>SUM(D7:D10)</f>
        <v>99395367</v>
      </c>
      <c r="E6" s="12">
        <f t="shared" ref="E6:I6" si="0">SUM(E7:E10)</f>
        <v>40948311</v>
      </c>
      <c r="F6" s="12">
        <f t="shared" si="0"/>
        <v>140343678</v>
      </c>
      <c r="G6" s="12">
        <f t="shared" si="0"/>
        <v>3947806</v>
      </c>
      <c r="H6" s="12">
        <f t="shared" si="0"/>
        <v>2356883</v>
      </c>
      <c r="I6" s="12">
        <f t="shared" si="0"/>
        <v>6304689</v>
      </c>
      <c r="J6" s="12">
        <f>SUM(J7:J10)</f>
        <v>146648367</v>
      </c>
    </row>
    <row r="7" spans="1:10" x14ac:dyDescent="0.25">
      <c r="A7" s="44"/>
      <c r="B7" s="23" t="s">
        <v>4</v>
      </c>
      <c r="C7" s="46" t="s">
        <v>5</v>
      </c>
      <c r="D7" s="25">
        <f t="shared" ref="D7:E10" si="1">SUMIF($B$16:$B$401,$B7,D$16:D$401)</f>
        <v>42892007</v>
      </c>
      <c r="E7" s="25">
        <f t="shared" si="1"/>
        <v>30971668</v>
      </c>
      <c r="F7" s="25">
        <f>SUM(D7:E7)</f>
        <v>73863675</v>
      </c>
      <c r="G7" s="25">
        <f t="shared" ref="G7:H10" si="2">SUMIF($B$16:$B$401,$B7,G$16:G$401)</f>
        <v>1983870</v>
      </c>
      <c r="H7" s="25">
        <f t="shared" si="2"/>
        <v>585559</v>
      </c>
      <c r="I7" s="25">
        <f>SUM(G7:H7)</f>
        <v>2569429</v>
      </c>
      <c r="J7" s="25">
        <f>F7+I7</f>
        <v>76433104</v>
      </c>
    </row>
    <row r="8" spans="1:10" x14ac:dyDescent="0.25">
      <c r="A8" s="44"/>
      <c r="B8" s="23" t="s">
        <v>6</v>
      </c>
      <c r="C8" s="46" t="s">
        <v>7</v>
      </c>
      <c r="D8" s="25">
        <f t="shared" si="1"/>
        <v>41327051</v>
      </c>
      <c r="E8" s="25">
        <f t="shared" si="1"/>
        <v>6638265</v>
      </c>
      <c r="F8" s="25">
        <f t="shared" ref="F8:F12" si="3">SUM(D8:E8)</f>
        <v>47965316</v>
      </c>
      <c r="G8" s="25">
        <f t="shared" si="2"/>
        <v>1963936</v>
      </c>
      <c r="H8" s="25">
        <f t="shared" si="2"/>
        <v>1479183</v>
      </c>
      <c r="I8" s="25">
        <f t="shared" ref="I8:I11" si="4">SUM(G8:H8)</f>
        <v>3443119</v>
      </c>
      <c r="J8" s="25">
        <f t="shared" ref="J8:J12" si="5">F8+I8</f>
        <v>51408435</v>
      </c>
    </row>
    <row r="9" spans="1:10" x14ac:dyDescent="0.25">
      <c r="A9" s="44"/>
      <c r="B9" s="297">
        <v>60</v>
      </c>
      <c r="C9" s="46" t="s">
        <v>9</v>
      </c>
      <c r="D9" s="25">
        <f t="shared" si="1"/>
        <v>528200</v>
      </c>
      <c r="E9" s="25">
        <f t="shared" si="1"/>
        <v>0</v>
      </c>
      <c r="F9" s="25">
        <f t="shared" si="3"/>
        <v>528200</v>
      </c>
      <c r="G9" s="25">
        <f t="shared" si="2"/>
        <v>0</v>
      </c>
      <c r="H9" s="25">
        <f t="shared" si="2"/>
        <v>0</v>
      </c>
      <c r="I9" s="25">
        <f t="shared" si="4"/>
        <v>0</v>
      </c>
      <c r="J9" s="25">
        <f t="shared" si="5"/>
        <v>528200</v>
      </c>
    </row>
    <row r="10" spans="1:10" x14ac:dyDescent="0.25">
      <c r="A10" s="44"/>
      <c r="B10" s="11" t="s">
        <v>175</v>
      </c>
      <c r="C10" s="47" t="s">
        <v>15</v>
      </c>
      <c r="D10" s="25">
        <f t="shared" si="1"/>
        <v>14648109</v>
      </c>
      <c r="E10" s="25">
        <f t="shared" si="1"/>
        <v>3338378</v>
      </c>
      <c r="F10" s="25">
        <f t="shared" si="3"/>
        <v>17986487</v>
      </c>
      <c r="G10" s="25">
        <f t="shared" si="2"/>
        <v>0</v>
      </c>
      <c r="H10" s="25">
        <f t="shared" si="2"/>
        <v>292141</v>
      </c>
      <c r="I10" s="25">
        <f t="shared" si="4"/>
        <v>292141</v>
      </c>
      <c r="J10" s="25">
        <f t="shared" si="5"/>
        <v>18278628</v>
      </c>
    </row>
    <row r="11" spans="1:10" ht="26.25" x14ac:dyDescent="0.25">
      <c r="A11" s="44"/>
      <c r="B11" s="253" t="s">
        <v>13</v>
      </c>
      <c r="C11" s="254" t="s">
        <v>417</v>
      </c>
      <c r="D11" s="25">
        <v>3655024</v>
      </c>
      <c r="E11" s="25">
        <v>2924578</v>
      </c>
      <c r="F11" s="25">
        <f t="shared" si="3"/>
        <v>6579602</v>
      </c>
      <c r="G11" s="25">
        <f>SUMIF($B$16:$B$401,$B11,G$16:G$401)</f>
        <v>0</v>
      </c>
      <c r="H11" s="25">
        <v>292141</v>
      </c>
      <c r="I11" s="25">
        <f t="shared" si="4"/>
        <v>292141</v>
      </c>
      <c r="J11" s="25">
        <f t="shared" si="5"/>
        <v>6871743</v>
      </c>
    </row>
    <row r="12" spans="1:10" x14ac:dyDescent="0.25">
      <c r="A12" s="44"/>
      <c r="B12" s="253" t="s">
        <v>14</v>
      </c>
      <c r="C12" s="254" t="s">
        <v>395</v>
      </c>
      <c r="D12" s="25">
        <v>11006085</v>
      </c>
      <c r="E12" s="25">
        <v>413800</v>
      </c>
      <c r="F12" s="25">
        <f t="shared" si="3"/>
        <v>11419885</v>
      </c>
      <c r="G12" s="25">
        <f>SUMIF($B$16:$B$401,$B12,G$16:G$401)</f>
        <v>0</v>
      </c>
      <c r="H12" s="25">
        <f>SUMIF($B$16:$B$401,$B12,H$16:H$401)</f>
        <v>0</v>
      </c>
      <c r="I12" s="25">
        <f>SUM(G12:H12)</f>
        <v>0</v>
      </c>
      <c r="J12" s="25">
        <f t="shared" si="5"/>
        <v>11419885</v>
      </c>
    </row>
    <row r="13" spans="1:10" s="10" customFormat="1" ht="29.25" customHeight="1" x14ac:dyDescent="0.25">
      <c r="A13" s="19" t="s">
        <v>0</v>
      </c>
      <c r="B13" s="26"/>
      <c r="C13" s="48"/>
      <c r="D13" s="7">
        <f t="shared" ref="D13:H13" si="6">D14+D18+D26</f>
        <v>707552</v>
      </c>
      <c r="E13" s="7">
        <f t="shared" si="6"/>
        <v>18000</v>
      </c>
      <c r="F13" s="7">
        <f>D13+E13</f>
        <v>725552</v>
      </c>
      <c r="G13" s="7">
        <f t="shared" si="6"/>
        <v>0</v>
      </c>
      <c r="H13" s="7">
        <f t="shared" si="6"/>
        <v>0</v>
      </c>
      <c r="I13" s="7">
        <f t="shared" ref="I13:I73" si="7">SUM(G13:H13)</f>
        <v>0</v>
      </c>
      <c r="J13" s="7">
        <f>I13+F13</f>
        <v>725552</v>
      </c>
    </row>
    <row r="14" spans="1:10" s="10" customFormat="1" x14ac:dyDescent="0.25">
      <c r="A14" s="27" t="s">
        <v>1</v>
      </c>
      <c r="B14" s="26"/>
      <c r="C14" s="49" t="s">
        <v>2</v>
      </c>
      <c r="D14" s="7">
        <f>SUM(D15)</f>
        <v>504362</v>
      </c>
      <c r="E14" s="7">
        <f t="shared" ref="E14:H14" si="8">SUM(E15)</f>
        <v>0</v>
      </c>
      <c r="F14" s="7">
        <f t="shared" ref="F14:F73" si="9">D14+E14</f>
        <v>504362</v>
      </c>
      <c r="G14" s="7">
        <f t="shared" si="8"/>
        <v>0</v>
      </c>
      <c r="H14" s="7">
        <f t="shared" si="8"/>
        <v>0</v>
      </c>
      <c r="I14" s="7">
        <f t="shared" si="7"/>
        <v>0</v>
      </c>
      <c r="J14" s="7">
        <f t="shared" ref="J14:J73" si="10">I14+F14</f>
        <v>504362</v>
      </c>
    </row>
    <row r="15" spans="1:10" x14ac:dyDescent="0.25">
      <c r="A15" s="18" t="s">
        <v>3</v>
      </c>
      <c r="B15" s="17"/>
      <c r="C15" s="50" t="s">
        <v>112</v>
      </c>
      <c r="D15" s="288">
        <f>SUM(D16:D17)</f>
        <v>504362</v>
      </c>
      <c r="E15" s="288">
        <f t="shared" ref="E15:H15" si="11">SUM(E16:E17)</f>
        <v>0</v>
      </c>
      <c r="F15" s="288">
        <f t="shared" si="9"/>
        <v>504362</v>
      </c>
      <c r="G15" s="288">
        <f t="shared" si="11"/>
        <v>0</v>
      </c>
      <c r="H15" s="288">
        <f t="shared" si="11"/>
        <v>0</v>
      </c>
      <c r="I15" s="288">
        <f t="shared" si="7"/>
        <v>0</v>
      </c>
      <c r="J15" s="288">
        <f t="shared" si="10"/>
        <v>504362</v>
      </c>
    </row>
    <row r="16" spans="1:10" x14ac:dyDescent="0.25">
      <c r="A16" s="15"/>
      <c r="B16" s="9" t="s">
        <v>4</v>
      </c>
      <c r="C16" s="51" t="s">
        <v>5</v>
      </c>
      <c r="D16" s="16">
        <v>460607</v>
      </c>
      <c r="E16" s="16">
        <v>0</v>
      </c>
      <c r="F16" s="16">
        <f t="shared" si="9"/>
        <v>460607</v>
      </c>
      <c r="G16" s="16">
        <v>0</v>
      </c>
      <c r="H16" s="16">
        <v>0</v>
      </c>
      <c r="I16" s="16">
        <f t="shared" si="7"/>
        <v>0</v>
      </c>
      <c r="J16" s="16">
        <f t="shared" si="10"/>
        <v>460607</v>
      </c>
    </row>
    <row r="17" spans="1:10" x14ac:dyDescent="0.25">
      <c r="A17" s="15"/>
      <c r="B17" s="9" t="s">
        <v>6</v>
      </c>
      <c r="C17" s="51" t="s">
        <v>7</v>
      </c>
      <c r="D17" s="16">
        <v>43755</v>
      </c>
      <c r="E17" s="16">
        <v>0</v>
      </c>
      <c r="F17" s="16">
        <f t="shared" si="9"/>
        <v>43755</v>
      </c>
      <c r="G17" s="16">
        <v>0</v>
      </c>
      <c r="H17" s="16">
        <v>0</v>
      </c>
      <c r="I17" s="16">
        <f t="shared" si="7"/>
        <v>0</v>
      </c>
      <c r="J17" s="16">
        <f t="shared" si="10"/>
        <v>43755</v>
      </c>
    </row>
    <row r="18" spans="1:10" s="10" customFormat="1" x14ac:dyDescent="0.25">
      <c r="A18" s="27" t="s">
        <v>10</v>
      </c>
      <c r="B18" s="26"/>
      <c r="C18" s="49" t="s">
        <v>11</v>
      </c>
      <c r="D18" s="7">
        <f t="shared" ref="D18:H18" si="12">D19+D23</f>
        <v>166204</v>
      </c>
      <c r="E18" s="7">
        <f t="shared" si="12"/>
        <v>0</v>
      </c>
      <c r="F18" s="7">
        <f t="shared" si="9"/>
        <v>166204</v>
      </c>
      <c r="G18" s="7">
        <f t="shared" si="12"/>
        <v>0</v>
      </c>
      <c r="H18" s="7">
        <f t="shared" si="12"/>
        <v>0</v>
      </c>
      <c r="I18" s="7">
        <f t="shared" si="7"/>
        <v>0</v>
      </c>
      <c r="J18" s="7">
        <f t="shared" si="10"/>
        <v>166204</v>
      </c>
    </row>
    <row r="19" spans="1:10" x14ac:dyDescent="0.25">
      <c r="A19" s="18" t="s">
        <v>12</v>
      </c>
      <c r="B19" s="17"/>
      <c r="C19" s="50" t="s">
        <v>113</v>
      </c>
      <c r="D19" s="288">
        <f t="shared" ref="D19:H19" si="13">SUM(D20:D22)</f>
        <v>87366</v>
      </c>
      <c r="E19" s="288">
        <f t="shared" si="13"/>
        <v>0</v>
      </c>
      <c r="F19" s="288">
        <f t="shared" si="9"/>
        <v>87366</v>
      </c>
      <c r="G19" s="288">
        <f t="shared" si="13"/>
        <v>0</v>
      </c>
      <c r="H19" s="288">
        <f t="shared" si="13"/>
        <v>0</v>
      </c>
      <c r="I19" s="288">
        <f t="shared" si="7"/>
        <v>0</v>
      </c>
      <c r="J19" s="288">
        <f t="shared" si="10"/>
        <v>87366</v>
      </c>
    </row>
    <row r="20" spans="1:10" x14ac:dyDescent="0.25">
      <c r="A20" s="15"/>
      <c r="B20" s="9" t="s">
        <v>4</v>
      </c>
      <c r="C20" s="52" t="s">
        <v>5</v>
      </c>
      <c r="D20" s="16">
        <v>4282</v>
      </c>
      <c r="E20" s="16">
        <v>0</v>
      </c>
      <c r="F20" s="16">
        <f t="shared" si="9"/>
        <v>4282</v>
      </c>
      <c r="G20" s="16">
        <v>0</v>
      </c>
      <c r="H20" s="16">
        <v>0</v>
      </c>
      <c r="I20" s="16">
        <f t="shared" si="7"/>
        <v>0</v>
      </c>
      <c r="J20" s="16">
        <f t="shared" si="10"/>
        <v>4282</v>
      </c>
    </row>
    <row r="21" spans="1:10" x14ac:dyDescent="0.25">
      <c r="A21" s="15"/>
      <c r="B21" s="9" t="s">
        <v>6</v>
      </c>
      <c r="C21" s="52" t="s">
        <v>7</v>
      </c>
      <c r="D21" s="16">
        <v>39000</v>
      </c>
      <c r="E21" s="16">
        <v>0</v>
      </c>
      <c r="F21" s="16">
        <f t="shared" si="9"/>
        <v>39000</v>
      </c>
      <c r="G21" s="16">
        <v>0</v>
      </c>
      <c r="H21" s="16">
        <v>0</v>
      </c>
      <c r="I21" s="16">
        <f t="shared" si="7"/>
        <v>0</v>
      </c>
      <c r="J21" s="16">
        <f t="shared" si="10"/>
        <v>39000</v>
      </c>
    </row>
    <row r="22" spans="1:10" s="2" customFormat="1" x14ac:dyDescent="0.25">
      <c r="A22" s="15"/>
      <c r="B22" s="9">
        <v>4</v>
      </c>
      <c r="C22" s="47" t="s">
        <v>15</v>
      </c>
      <c r="D22" s="16">
        <v>44084</v>
      </c>
      <c r="E22" s="16">
        <v>0</v>
      </c>
      <c r="F22" s="16">
        <f t="shared" si="9"/>
        <v>44084</v>
      </c>
      <c r="G22" s="16">
        <v>0</v>
      </c>
      <c r="H22" s="16">
        <v>0</v>
      </c>
      <c r="I22" s="16">
        <f t="shared" si="7"/>
        <v>0</v>
      </c>
      <c r="J22" s="16">
        <f t="shared" si="10"/>
        <v>44084</v>
      </c>
    </row>
    <row r="23" spans="1:10" x14ac:dyDescent="0.25">
      <c r="A23" s="18" t="s">
        <v>16</v>
      </c>
      <c r="B23" s="17"/>
      <c r="C23" s="50" t="s">
        <v>114</v>
      </c>
      <c r="D23" s="288">
        <f>SUM(D24:D25)</f>
        <v>78838</v>
      </c>
      <c r="E23" s="288">
        <f t="shared" ref="E23:H23" si="14">SUM(E24:E25)</f>
        <v>0</v>
      </c>
      <c r="F23" s="288">
        <f t="shared" si="9"/>
        <v>78838</v>
      </c>
      <c r="G23" s="288">
        <f t="shared" si="14"/>
        <v>0</v>
      </c>
      <c r="H23" s="288">
        <f t="shared" si="14"/>
        <v>0</v>
      </c>
      <c r="I23" s="288">
        <f t="shared" si="7"/>
        <v>0</v>
      </c>
      <c r="J23" s="288">
        <f t="shared" si="10"/>
        <v>78838</v>
      </c>
    </row>
    <row r="24" spans="1:10" x14ac:dyDescent="0.25">
      <c r="A24" s="15"/>
      <c r="B24" s="9" t="s">
        <v>4</v>
      </c>
      <c r="C24" s="52" t="s">
        <v>5</v>
      </c>
      <c r="D24" s="16">
        <v>1338</v>
      </c>
      <c r="E24" s="16">
        <v>0</v>
      </c>
      <c r="F24" s="16">
        <f t="shared" si="9"/>
        <v>1338</v>
      </c>
      <c r="G24" s="16">
        <v>0</v>
      </c>
      <c r="H24" s="16">
        <v>0</v>
      </c>
      <c r="I24" s="16">
        <f t="shared" si="7"/>
        <v>0</v>
      </c>
      <c r="J24" s="16">
        <f t="shared" si="10"/>
        <v>1338</v>
      </c>
    </row>
    <row r="25" spans="1:10" x14ac:dyDescent="0.25">
      <c r="A25" s="15"/>
      <c r="B25" s="9" t="s">
        <v>6</v>
      </c>
      <c r="C25" s="52" t="s">
        <v>7</v>
      </c>
      <c r="D25" s="16">
        <v>77500</v>
      </c>
      <c r="E25" s="16">
        <v>0</v>
      </c>
      <c r="F25" s="16">
        <f t="shared" si="9"/>
        <v>77500</v>
      </c>
      <c r="G25" s="16">
        <v>0</v>
      </c>
      <c r="H25" s="16">
        <v>0</v>
      </c>
      <c r="I25" s="16">
        <f t="shared" si="7"/>
        <v>0</v>
      </c>
      <c r="J25" s="16">
        <f t="shared" si="10"/>
        <v>77500</v>
      </c>
    </row>
    <row r="26" spans="1:10" s="10" customFormat="1" x14ac:dyDescent="0.25">
      <c r="A26" s="27" t="s">
        <v>17</v>
      </c>
      <c r="B26" s="26"/>
      <c r="C26" s="49" t="s">
        <v>18</v>
      </c>
      <c r="D26" s="7">
        <f>SUM(D27)</f>
        <v>36986</v>
      </c>
      <c r="E26" s="7">
        <f t="shared" ref="E26:H26" si="15">SUM(E27)</f>
        <v>18000</v>
      </c>
      <c r="F26" s="7">
        <f t="shared" si="9"/>
        <v>54986</v>
      </c>
      <c r="G26" s="7">
        <f t="shared" si="15"/>
        <v>0</v>
      </c>
      <c r="H26" s="7">
        <f t="shared" si="15"/>
        <v>0</v>
      </c>
      <c r="I26" s="7">
        <f t="shared" si="7"/>
        <v>0</v>
      </c>
      <c r="J26" s="7">
        <f t="shared" si="10"/>
        <v>54986</v>
      </c>
    </row>
    <row r="27" spans="1:10" x14ac:dyDescent="0.25">
      <c r="A27" s="18" t="s">
        <v>19</v>
      </c>
      <c r="B27" s="17"/>
      <c r="C27" s="50" t="s">
        <v>115</v>
      </c>
      <c r="D27" s="288">
        <f>SUM(D28:D30)</f>
        <v>36986</v>
      </c>
      <c r="E27" s="288">
        <f t="shared" ref="E27:H27" si="16">SUM(E28:E30)</f>
        <v>18000</v>
      </c>
      <c r="F27" s="288">
        <f t="shared" si="9"/>
        <v>54986</v>
      </c>
      <c r="G27" s="288">
        <f t="shared" si="16"/>
        <v>0</v>
      </c>
      <c r="H27" s="288">
        <f t="shared" si="16"/>
        <v>0</v>
      </c>
      <c r="I27" s="288">
        <f t="shared" si="7"/>
        <v>0</v>
      </c>
      <c r="J27" s="288">
        <f t="shared" si="10"/>
        <v>54986</v>
      </c>
    </row>
    <row r="28" spans="1:10" x14ac:dyDescent="0.25">
      <c r="A28" s="15"/>
      <c r="B28" s="9" t="s">
        <v>4</v>
      </c>
      <c r="C28" s="52" t="s">
        <v>5</v>
      </c>
      <c r="D28" s="16">
        <v>5486</v>
      </c>
      <c r="E28" s="16">
        <v>18000</v>
      </c>
      <c r="F28" s="16">
        <f t="shared" si="9"/>
        <v>23486</v>
      </c>
      <c r="G28" s="16">
        <v>0</v>
      </c>
      <c r="H28" s="16">
        <v>0</v>
      </c>
      <c r="I28" s="16">
        <f t="shared" si="7"/>
        <v>0</v>
      </c>
      <c r="J28" s="16">
        <f t="shared" si="10"/>
        <v>23486</v>
      </c>
    </row>
    <row r="29" spans="1:10" x14ac:dyDescent="0.25">
      <c r="A29" s="15"/>
      <c r="B29" s="9" t="s">
        <v>6</v>
      </c>
      <c r="C29" s="52" t="s">
        <v>7</v>
      </c>
      <c r="D29" s="16">
        <v>14000</v>
      </c>
      <c r="E29" s="16">
        <v>0</v>
      </c>
      <c r="F29" s="16">
        <f t="shared" si="9"/>
        <v>14000</v>
      </c>
      <c r="G29" s="16">
        <v>0</v>
      </c>
      <c r="H29" s="16">
        <v>0</v>
      </c>
      <c r="I29" s="16">
        <f t="shared" si="7"/>
        <v>0</v>
      </c>
      <c r="J29" s="16">
        <f t="shared" si="10"/>
        <v>14000</v>
      </c>
    </row>
    <row r="30" spans="1:10" x14ac:dyDescent="0.25">
      <c r="A30" s="15"/>
      <c r="B30" s="9">
        <v>4</v>
      </c>
      <c r="C30" s="52" t="s">
        <v>15</v>
      </c>
      <c r="D30" s="16">
        <v>17500</v>
      </c>
      <c r="E30" s="16">
        <v>0</v>
      </c>
      <c r="F30" s="16">
        <f t="shared" si="9"/>
        <v>17500</v>
      </c>
      <c r="G30" s="16">
        <v>0</v>
      </c>
      <c r="H30" s="16">
        <v>0</v>
      </c>
      <c r="I30" s="16">
        <f t="shared" si="7"/>
        <v>0</v>
      </c>
      <c r="J30" s="16">
        <f t="shared" si="10"/>
        <v>17500</v>
      </c>
    </row>
    <row r="31" spans="1:10" ht="24.75" customHeight="1" x14ac:dyDescent="0.25">
      <c r="A31" s="8" t="s">
        <v>20</v>
      </c>
      <c r="B31" s="5"/>
      <c r="C31" s="53"/>
      <c r="D31" s="3">
        <f>D32+D40+D43</f>
        <v>763800</v>
      </c>
      <c r="E31" s="3">
        <f t="shared" ref="E31:H31" si="17">E32+E40</f>
        <v>0</v>
      </c>
      <c r="F31" s="7">
        <f t="shared" si="9"/>
        <v>763800</v>
      </c>
      <c r="G31" s="3">
        <f t="shared" si="17"/>
        <v>0</v>
      </c>
      <c r="H31" s="3">
        <f t="shared" si="17"/>
        <v>0</v>
      </c>
      <c r="I31" s="7">
        <f t="shared" si="7"/>
        <v>0</v>
      </c>
      <c r="J31" s="7">
        <f t="shared" si="10"/>
        <v>763800</v>
      </c>
    </row>
    <row r="32" spans="1:10" s="10" customFormat="1" x14ac:dyDescent="0.25">
      <c r="A32" s="27" t="s">
        <v>1</v>
      </c>
      <c r="B32" s="26"/>
      <c r="C32" s="49" t="s">
        <v>2</v>
      </c>
      <c r="D32" s="7">
        <f>D33+D36</f>
        <v>688300</v>
      </c>
      <c r="E32" s="7">
        <f t="shared" ref="E32:H32" si="18">E33+E36</f>
        <v>0</v>
      </c>
      <c r="F32" s="7">
        <f t="shared" si="9"/>
        <v>688300</v>
      </c>
      <c r="G32" s="7">
        <f t="shared" si="18"/>
        <v>0</v>
      </c>
      <c r="H32" s="7">
        <f t="shared" si="18"/>
        <v>0</v>
      </c>
      <c r="I32" s="7">
        <f t="shared" si="7"/>
        <v>0</v>
      </c>
      <c r="J32" s="7">
        <f t="shared" si="10"/>
        <v>688300</v>
      </c>
    </row>
    <row r="33" spans="1:10" x14ac:dyDescent="0.25">
      <c r="A33" s="18" t="s">
        <v>3</v>
      </c>
      <c r="B33" s="17"/>
      <c r="C33" s="50" t="s">
        <v>112</v>
      </c>
      <c r="D33" s="288">
        <f>SUM(D34:D35)</f>
        <v>305270</v>
      </c>
      <c r="E33" s="288">
        <f t="shared" ref="E33:H33" si="19">SUM(E34:E35)</f>
        <v>0</v>
      </c>
      <c r="F33" s="288">
        <f t="shared" si="9"/>
        <v>305270</v>
      </c>
      <c r="G33" s="288">
        <f t="shared" si="19"/>
        <v>0</v>
      </c>
      <c r="H33" s="288">
        <f t="shared" si="19"/>
        <v>0</v>
      </c>
      <c r="I33" s="288">
        <f t="shared" si="7"/>
        <v>0</v>
      </c>
      <c r="J33" s="288">
        <f t="shared" si="10"/>
        <v>305270</v>
      </c>
    </row>
    <row r="34" spans="1:10" x14ac:dyDescent="0.25">
      <c r="A34" s="15"/>
      <c r="B34" s="9" t="s">
        <v>4</v>
      </c>
      <c r="C34" s="52" t="s">
        <v>5</v>
      </c>
      <c r="D34" s="16">
        <v>278950</v>
      </c>
      <c r="E34" s="16">
        <v>0</v>
      </c>
      <c r="F34" s="16">
        <f t="shared" si="9"/>
        <v>278950</v>
      </c>
      <c r="G34" s="16">
        <v>0</v>
      </c>
      <c r="H34" s="16">
        <v>0</v>
      </c>
      <c r="I34" s="16">
        <f t="shared" si="7"/>
        <v>0</v>
      </c>
      <c r="J34" s="16">
        <f t="shared" si="10"/>
        <v>278950</v>
      </c>
    </row>
    <row r="35" spans="1:10" x14ac:dyDescent="0.25">
      <c r="A35" s="15"/>
      <c r="B35" s="9" t="s">
        <v>6</v>
      </c>
      <c r="C35" s="52" t="s">
        <v>7</v>
      </c>
      <c r="D35" s="16">
        <v>26320</v>
      </c>
      <c r="E35" s="16">
        <v>0</v>
      </c>
      <c r="F35" s="16">
        <f t="shared" si="9"/>
        <v>26320</v>
      </c>
      <c r="G35" s="16">
        <v>0</v>
      </c>
      <c r="H35" s="16">
        <v>0</v>
      </c>
      <c r="I35" s="16">
        <f t="shared" si="7"/>
        <v>0</v>
      </c>
      <c r="J35" s="16">
        <f t="shared" si="10"/>
        <v>26320</v>
      </c>
    </row>
    <row r="36" spans="1:10" x14ac:dyDescent="0.25">
      <c r="A36" s="18" t="s">
        <v>21</v>
      </c>
      <c r="B36" s="4"/>
      <c r="C36" s="50" t="s">
        <v>116</v>
      </c>
      <c r="D36" s="288">
        <f>SUM(D37:D39)</f>
        <v>383030</v>
      </c>
      <c r="E36" s="288">
        <f t="shared" ref="E36:H36" si="20">SUM(E37:E39)</f>
        <v>0</v>
      </c>
      <c r="F36" s="288">
        <f t="shared" si="9"/>
        <v>383030</v>
      </c>
      <c r="G36" s="288">
        <f t="shared" si="20"/>
        <v>0</v>
      </c>
      <c r="H36" s="288">
        <f t="shared" si="20"/>
        <v>0</v>
      </c>
      <c r="I36" s="288">
        <f t="shared" si="7"/>
        <v>0</v>
      </c>
      <c r="J36" s="288">
        <f t="shared" si="10"/>
        <v>383030</v>
      </c>
    </row>
    <row r="37" spans="1:10" x14ac:dyDescent="0.25">
      <c r="A37" s="15"/>
      <c r="B37" s="9" t="s">
        <v>4</v>
      </c>
      <c r="C37" s="52" t="s">
        <v>5</v>
      </c>
      <c r="D37" s="16">
        <v>5444</v>
      </c>
      <c r="E37" s="16">
        <v>0</v>
      </c>
      <c r="F37" s="16">
        <f t="shared" si="9"/>
        <v>5444</v>
      </c>
      <c r="G37" s="16">
        <v>0</v>
      </c>
      <c r="H37" s="16">
        <v>0</v>
      </c>
      <c r="I37" s="16">
        <f t="shared" si="7"/>
        <v>0</v>
      </c>
      <c r="J37" s="16">
        <f t="shared" si="10"/>
        <v>5444</v>
      </c>
    </row>
    <row r="38" spans="1:10" x14ac:dyDescent="0.25">
      <c r="A38" s="15"/>
      <c r="B38" s="9" t="s">
        <v>6</v>
      </c>
      <c r="C38" s="52" t="s">
        <v>7</v>
      </c>
      <c r="D38" s="16">
        <v>322418</v>
      </c>
      <c r="E38" s="16">
        <v>0</v>
      </c>
      <c r="F38" s="16">
        <f t="shared" si="9"/>
        <v>322418</v>
      </c>
      <c r="G38" s="16">
        <v>0</v>
      </c>
      <c r="H38" s="16">
        <v>0</v>
      </c>
      <c r="I38" s="16">
        <f t="shared" si="7"/>
        <v>0</v>
      </c>
      <c r="J38" s="16">
        <f t="shared" si="10"/>
        <v>322418</v>
      </c>
    </row>
    <row r="39" spans="1:10" x14ac:dyDescent="0.25">
      <c r="A39" s="15"/>
      <c r="B39" s="9">
        <v>4</v>
      </c>
      <c r="C39" s="52" t="s">
        <v>15</v>
      </c>
      <c r="D39" s="16">
        <f>28500+26668</f>
        <v>55168</v>
      </c>
      <c r="E39" s="16">
        <v>0</v>
      </c>
      <c r="F39" s="16">
        <f t="shared" si="9"/>
        <v>55168</v>
      </c>
      <c r="G39" s="16">
        <v>0</v>
      </c>
      <c r="H39" s="16">
        <v>0</v>
      </c>
      <c r="I39" s="16">
        <f t="shared" si="7"/>
        <v>0</v>
      </c>
      <c r="J39" s="16">
        <f t="shared" si="10"/>
        <v>55168</v>
      </c>
    </row>
    <row r="40" spans="1:10" s="10" customFormat="1" x14ac:dyDescent="0.25">
      <c r="A40" s="27" t="s">
        <v>10</v>
      </c>
      <c r="B40" s="26"/>
      <c r="C40" s="49" t="s">
        <v>11</v>
      </c>
      <c r="D40" s="7">
        <f>D41</f>
        <v>55000</v>
      </c>
      <c r="E40" s="7">
        <f>E41</f>
        <v>0</v>
      </c>
      <c r="F40" s="7">
        <f t="shared" si="9"/>
        <v>55000</v>
      </c>
      <c r="G40" s="7">
        <f>G41</f>
        <v>0</v>
      </c>
      <c r="H40" s="7">
        <f>H41</f>
        <v>0</v>
      </c>
      <c r="I40" s="7">
        <f t="shared" si="7"/>
        <v>0</v>
      </c>
      <c r="J40" s="7">
        <f t="shared" si="10"/>
        <v>55000</v>
      </c>
    </row>
    <row r="41" spans="1:10" x14ac:dyDescent="0.25">
      <c r="A41" s="18" t="s">
        <v>24</v>
      </c>
      <c r="B41" s="17"/>
      <c r="C41" s="50" t="s">
        <v>118</v>
      </c>
      <c r="D41" s="288">
        <f>SUM(D42)</f>
        <v>55000</v>
      </c>
      <c r="E41" s="288">
        <f t="shared" ref="E41:H41" si="21">SUM(E42)</f>
        <v>0</v>
      </c>
      <c r="F41" s="288">
        <f t="shared" si="9"/>
        <v>55000</v>
      </c>
      <c r="G41" s="288">
        <f t="shared" si="21"/>
        <v>0</v>
      </c>
      <c r="H41" s="288">
        <f t="shared" si="21"/>
        <v>0</v>
      </c>
      <c r="I41" s="288">
        <f t="shared" si="7"/>
        <v>0</v>
      </c>
      <c r="J41" s="288">
        <f t="shared" si="10"/>
        <v>55000</v>
      </c>
    </row>
    <row r="42" spans="1:10" x14ac:dyDescent="0.25">
      <c r="A42" s="15"/>
      <c r="B42" s="9">
        <v>4</v>
      </c>
      <c r="C42" s="52" t="s">
        <v>15</v>
      </c>
      <c r="D42" s="16">
        <v>55000</v>
      </c>
      <c r="E42" s="16">
        <v>0</v>
      </c>
      <c r="F42" s="16">
        <f t="shared" si="9"/>
        <v>55000</v>
      </c>
      <c r="G42" s="16">
        <v>0</v>
      </c>
      <c r="H42" s="16">
        <v>0</v>
      </c>
      <c r="I42" s="16">
        <f t="shared" si="7"/>
        <v>0</v>
      </c>
      <c r="J42" s="16">
        <f t="shared" si="10"/>
        <v>55000</v>
      </c>
    </row>
    <row r="43" spans="1:10" s="2" customFormat="1" x14ac:dyDescent="0.25">
      <c r="A43" s="290" t="s">
        <v>17</v>
      </c>
      <c r="B43" s="26"/>
      <c r="C43" s="49" t="s">
        <v>18</v>
      </c>
      <c r="D43" s="7">
        <f>D44</f>
        <v>20500</v>
      </c>
      <c r="E43" s="7">
        <f>E44</f>
        <v>0</v>
      </c>
      <c r="F43" s="7">
        <f t="shared" ref="F43:F45" si="22">D43+E43</f>
        <v>20500</v>
      </c>
      <c r="G43" s="7">
        <f>G44</f>
        <v>0</v>
      </c>
      <c r="H43" s="7">
        <f>H44</f>
        <v>0</v>
      </c>
      <c r="I43" s="7">
        <f t="shared" ref="I43:I45" si="23">SUM(G43:H43)</f>
        <v>0</v>
      </c>
      <c r="J43" s="7">
        <f t="shared" ref="J43:J45" si="24">I43+F43</f>
        <v>20500</v>
      </c>
    </row>
    <row r="44" spans="1:10" s="2" customFormat="1" x14ac:dyDescent="0.25">
      <c r="A44" s="1" t="s">
        <v>25</v>
      </c>
      <c r="B44" s="17"/>
      <c r="C44" s="50" t="s">
        <v>134</v>
      </c>
      <c r="D44" s="288">
        <f>SUM(D45)</f>
        <v>20500</v>
      </c>
      <c r="E44" s="288">
        <f t="shared" ref="E44:H44" si="25">SUM(E45)</f>
        <v>0</v>
      </c>
      <c r="F44" s="288">
        <f t="shared" si="22"/>
        <v>20500</v>
      </c>
      <c r="G44" s="288">
        <f t="shared" si="25"/>
        <v>0</v>
      </c>
      <c r="H44" s="288">
        <f t="shared" si="25"/>
        <v>0</v>
      </c>
      <c r="I44" s="288">
        <f t="shared" si="23"/>
        <v>0</v>
      </c>
      <c r="J44" s="288">
        <f t="shared" si="24"/>
        <v>20500</v>
      </c>
    </row>
    <row r="45" spans="1:10" s="2" customFormat="1" x14ac:dyDescent="0.25">
      <c r="A45" s="15"/>
      <c r="B45" s="9">
        <v>4</v>
      </c>
      <c r="C45" s="52" t="s">
        <v>15</v>
      </c>
      <c r="D45" s="16">
        <v>20500</v>
      </c>
      <c r="E45" s="16">
        <v>0</v>
      </c>
      <c r="F45" s="16">
        <f t="shared" si="22"/>
        <v>20500</v>
      </c>
      <c r="G45" s="16">
        <v>0</v>
      </c>
      <c r="H45" s="16">
        <v>0</v>
      </c>
      <c r="I45" s="16">
        <f t="shared" si="23"/>
        <v>0</v>
      </c>
      <c r="J45" s="16">
        <f t="shared" si="24"/>
        <v>20500</v>
      </c>
    </row>
    <row r="46" spans="1:10" ht="24" customHeight="1" x14ac:dyDescent="0.25">
      <c r="A46" s="8" t="s">
        <v>29</v>
      </c>
      <c r="B46" s="5"/>
      <c r="C46" s="53"/>
      <c r="D46" s="3">
        <f>D47+D51</f>
        <v>1125000</v>
      </c>
      <c r="E46" s="3">
        <f t="shared" ref="E46:H46" si="26">E47+E51</f>
        <v>0</v>
      </c>
      <c r="F46" s="7">
        <f t="shared" si="9"/>
        <v>1125000</v>
      </c>
      <c r="G46" s="3">
        <f t="shared" si="26"/>
        <v>18000</v>
      </c>
      <c r="H46" s="3">
        <f t="shared" si="26"/>
        <v>141864</v>
      </c>
      <c r="I46" s="7">
        <f t="shared" si="7"/>
        <v>159864</v>
      </c>
      <c r="J46" s="7">
        <f t="shared" si="10"/>
        <v>1284864</v>
      </c>
    </row>
    <row r="47" spans="1:10" s="10" customFormat="1" x14ac:dyDescent="0.25">
      <c r="A47" s="27" t="s">
        <v>1</v>
      </c>
      <c r="B47" s="26"/>
      <c r="C47" s="49" t="s">
        <v>2</v>
      </c>
      <c r="D47" s="7">
        <f>SUM(D48)</f>
        <v>185698</v>
      </c>
      <c r="E47" s="7">
        <f t="shared" ref="E47:H47" si="27">SUM(E48)</f>
        <v>0</v>
      </c>
      <c r="F47" s="7">
        <f t="shared" si="9"/>
        <v>185698</v>
      </c>
      <c r="G47" s="7">
        <f t="shared" si="27"/>
        <v>0</v>
      </c>
      <c r="H47" s="7">
        <f t="shared" si="27"/>
        <v>0</v>
      </c>
      <c r="I47" s="7">
        <f t="shared" si="7"/>
        <v>0</v>
      </c>
      <c r="J47" s="7">
        <f t="shared" si="10"/>
        <v>185698</v>
      </c>
    </row>
    <row r="48" spans="1:10" x14ac:dyDescent="0.25">
      <c r="A48" s="18" t="s">
        <v>3</v>
      </c>
      <c r="B48" s="17"/>
      <c r="C48" s="50" t="s">
        <v>112</v>
      </c>
      <c r="D48" s="288">
        <f>SUM(D49:D50)</f>
        <v>185698</v>
      </c>
      <c r="E48" s="288">
        <f t="shared" ref="E48:H48" si="28">SUM(E49:E50)</f>
        <v>0</v>
      </c>
      <c r="F48" s="288">
        <f t="shared" si="9"/>
        <v>185698</v>
      </c>
      <c r="G48" s="288">
        <f t="shared" si="28"/>
        <v>0</v>
      </c>
      <c r="H48" s="288">
        <f t="shared" si="28"/>
        <v>0</v>
      </c>
      <c r="I48" s="288">
        <f t="shared" si="7"/>
        <v>0</v>
      </c>
      <c r="J48" s="288">
        <f t="shared" si="10"/>
        <v>185698</v>
      </c>
    </row>
    <row r="49" spans="1:10" x14ac:dyDescent="0.25">
      <c r="A49" s="15"/>
      <c r="B49" s="9" t="s">
        <v>4</v>
      </c>
      <c r="C49" s="52" t="s">
        <v>5</v>
      </c>
      <c r="D49" s="16">
        <v>169268</v>
      </c>
      <c r="E49" s="16">
        <v>0</v>
      </c>
      <c r="F49" s="16">
        <f t="shared" si="9"/>
        <v>169268</v>
      </c>
      <c r="G49" s="16">
        <v>0</v>
      </c>
      <c r="H49" s="16">
        <v>0</v>
      </c>
      <c r="I49" s="16">
        <f t="shared" si="7"/>
        <v>0</v>
      </c>
      <c r="J49" s="16">
        <f t="shared" si="10"/>
        <v>169268</v>
      </c>
    </row>
    <row r="50" spans="1:10" x14ac:dyDescent="0.25">
      <c r="A50" s="15"/>
      <c r="B50" s="9" t="s">
        <v>6</v>
      </c>
      <c r="C50" s="52" t="s">
        <v>7</v>
      </c>
      <c r="D50" s="16">
        <v>16430</v>
      </c>
      <c r="E50" s="16">
        <v>0</v>
      </c>
      <c r="F50" s="16">
        <f t="shared" si="9"/>
        <v>16430</v>
      </c>
      <c r="G50" s="16">
        <v>0</v>
      </c>
      <c r="H50" s="16">
        <v>0</v>
      </c>
      <c r="I50" s="16">
        <f t="shared" si="7"/>
        <v>0</v>
      </c>
      <c r="J50" s="16">
        <f t="shared" si="10"/>
        <v>16430</v>
      </c>
    </row>
    <row r="51" spans="1:10" s="10" customFormat="1" x14ac:dyDescent="0.25">
      <c r="A51" s="27" t="s">
        <v>10</v>
      </c>
      <c r="B51" s="26"/>
      <c r="C51" s="49" t="s">
        <v>11</v>
      </c>
      <c r="D51" s="7">
        <f>D52+D54</f>
        <v>939302</v>
      </c>
      <c r="E51" s="7">
        <f t="shared" ref="E51:H51" si="29">E52+E54</f>
        <v>0</v>
      </c>
      <c r="F51" s="7">
        <f t="shared" si="9"/>
        <v>939302</v>
      </c>
      <c r="G51" s="7">
        <f t="shared" si="29"/>
        <v>18000</v>
      </c>
      <c r="H51" s="7">
        <f t="shared" si="29"/>
        <v>141864</v>
      </c>
      <c r="I51" s="7">
        <f t="shared" si="7"/>
        <v>159864</v>
      </c>
      <c r="J51" s="7">
        <f t="shared" si="10"/>
        <v>1099166</v>
      </c>
    </row>
    <row r="52" spans="1:10" x14ac:dyDescent="0.25">
      <c r="A52" s="18" t="s">
        <v>24</v>
      </c>
      <c r="B52" s="17"/>
      <c r="C52" s="50" t="s">
        <v>118</v>
      </c>
      <c r="D52" s="288">
        <f>SUM(D53)</f>
        <v>285000</v>
      </c>
      <c r="E52" s="288">
        <f t="shared" ref="E52:H52" si="30">SUM(E53)</f>
        <v>0</v>
      </c>
      <c r="F52" s="288">
        <f t="shared" si="9"/>
        <v>285000</v>
      </c>
      <c r="G52" s="288">
        <f t="shared" si="30"/>
        <v>0</v>
      </c>
      <c r="H52" s="288">
        <f t="shared" si="30"/>
        <v>0</v>
      </c>
      <c r="I52" s="288">
        <f t="shared" si="7"/>
        <v>0</v>
      </c>
      <c r="J52" s="288">
        <f t="shared" si="10"/>
        <v>285000</v>
      </c>
    </row>
    <row r="53" spans="1:10" x14ac:dyDescent="0.25">
      <c r="A53" s="15"/>
      <c r="B53" s="9">
        <v>4</v>
      </c>
      <c r="C53" s="52" t="s">
        <v>15</v>
      </c>
      <c r="D53" s="16">
        <v>285000</v>
      </c>
      <c r="E53" s="16">
        <v>0</v>
      </c>
      <c r="F53" s="16">
        <f t="shared" si="9"/>
        <v>285000</v>
      </c>
      <c r="G53" s="16">
        <v>0</v>
      </c>
      <c r="H53" s="16">
        <v>0</v>
      </c>
      <c r="I53" s="16">
        <f t="shared" si="7"/>
        <v>0</v>
      </c>
      <c r="J53" s="16">
        <f t="shared" si="10"/>
        <v>285000</v>
      </c>
    </row>
    <row r="54" spans="1:10" ht="26.25" x14ac:dyDescent="0.25">
      <c r="A54" s="18" t="s">
        <v>12</v>
      </c>
      <c r="B54" s="17"/>
      <c r="C54" s="50" t="s">
        <v>119</v>
      </c>
      <c r="D54" s="288">
        <f t="shared" ref="D54:H54" si="31">SUM(D55:D57)</f>
        <v>654302</v>
      </c>
      <c r="E54" s="288">
        <f t="shared" si="31"/>
        <v>0</v>
      </c>
      <c r="F54" s="288">
        <f t="shared" si="9"/>
        <v>654302</v>
      </c>
      <c r="G54" s="288">
        <f t="shared" si="31"/>
        <v>18000</v>
      </c>
      <c r="H54" s="288">
        <f t="shared" si="31"/>
        <v>141864</v>
      </c>
      <c r="I54" s="288">
        <f t="shared" si="7"/>
        <v>159864</v>
      </c>
      <c r="J54" s="288">
        <f t="shared" si="10"/>
        <v>814166</v>
      </c>
    </row>
    <row r="55" spans="1:10" x14ac:dyDescent="0.25">
      <c r="A55" s="15"/>
      <c r="B55" s="9" t="s">
        <v>4</v>
      </c>
      <c r="C55" s="52" t="s">
        <v>5</v>
      </c>
      <c r="D55" s="16">
        <v>2007</v>
      </c>
      <c r="E55" s="16">
        <v>0</v>
      </c>
      <c r="F55" s="16">
        <f t="shared" si="9"/>
        <v>2007</v>
      </c>
      <c r="G55" s="16">
        <v>5352</v>
      </c>
      <c r="H55" s="16">
        <v>73382</v>
      </c>
      <c r="I55" s="16">
        <f t="shared" si="7"/>
        <v>78734</v>
      </c>
      <c r="J55" s="16">
        <f t="shared" si="10"/>
        <v>80741</v>
      </c>
    </row>
    <row r="56" spans="1:10" x14ac:dyDescent="0.25">
      <c r="A56" s="15"/>
      <c r="B56" s="9" t="s">
        <v>6</v>
      </c>
      <c r="C56" s="52" t="s">
        <v>7</v>
      </c>
      <c r="D56" s="16">
        <v>203795</v>
      </c>
      <c r="E56" s="16">
        <v>0</v>
      </c>
      <c r="F56" s="16">
        <f t="shared" si="9"/>
        <v>203795</v>
      </c>
      <c r="G56" s="16">
        <v>12648</v>
      </c>
      <c r="H56" s="16">
        <v>68482</v>
      </c>
      <c r="I56" s="16">
        <f t="shared" si="7"/>
        <v>81130</v>
      </c>
      <c r="J56" s="16">
        <f t="shared" si="10"/>
        <v>284925</v>
      </c>
    </row>
    <row r="57" spans="1:10" s="2" customFormat="1" x14ac:dyDescent="0.25">
      <c r="A57" s="15"/>
      <c r="B57" s="9">
        <v>4</v>
      </c>
      <c r="C57" s="52" t="s">
        <v>15</v>
      </c>
      <c r="D57" s="16">
        <v>448500</v>
      </c>
      <c r="E57" s="16">
        <v>0</v>
      </c>
      <c r="F57" s="16">
        <f t="shared" si="9"/>
        <v>448500</v>
      </c>
      <c r="G57" s="16">
        <v>0</v>
      </c>
      <c r="H57" s="16">
        <v>0</v>
      </c>
      <c r="I57" s="16">
        <f t="shared" si="7"/>
        <v>0</v>
      </c>
      <c r="J57" s="16">
        <f t="shared" si="10"/>
        <v>448500</v>
      </c>
    </row>
    <row r="58" spans="1:10" ht="27" customHeight="1" x14ac:dyDescent="0.25">
      <c r="A58" s="8" t="s">
        <v>30</v>
      </c>
      <c r="B58" s="5"/>
      <c r="C58" s="53"/>
      <c r="D58" s="7">
        <f>D59+D63</f>
        <v>40868934</v>
      </c>
      <c r="E58" s="7">
        <f t="shared" ref="E58:H58" si="32">E59+E63</f>
        <v>36639477</v>
      </c>
      <c r="F58" s="7">
        <f t="shared" si="9"/>
        <v>77508411</v>
      </c>
      <c r="G58" s="7">
        <f t="shared" si="32"/>
        <v>2247793</v>
      </c>
      <c r="H58" s="7">
        <f t="shared" si="32"/>
        <v>532335</v>
      </c>
      <c r="I58" s="7">
        <f t="shared" si="7"/>
        <v>2780128</v>
      </c>
      <c r="J58" s="7">
        <f t="shared" si="10"/>
        <v>80288539</v>
      </c>
    </row>
    <row r="59" spans="1:10" s="10" customFormat="1" x14ac:dyDescent="0.25">
      <c r="A59" s="27" t="s">
        <v>1</v>
      </c>
      <c r="B59" s="26"/>
      <c r="C59" s="49" t="s">
        <v>2</v>
      </c>
      <c r="D59" s="7">
        <f>D60</f>
        <v>337241</v>
      </c>
      <c r="E59" s="7">
        <f t="shared" ref="E59:H59" si="33">E60</f>
        <v>0</v>
      </c>
      <c r="F59" s="7">
        <f t="shared" si="9"/>
        <v>337241</v>
      </c>
      <c r="G59" s="7">
        <f t="shared" si="33"/>
        <v>0</v>
      </c>
      <c r="H59" s="7">
        <f t="shared" si="33"/>
        <v>0</v>
      </c>
      <c r="I59" s="7">
        <f t="shared" si="7"/>
        <v>0</v>
      </c>
      <c r="J59" s="7">
        <f t="shared" si="10"/>
        <v>337241</v>
      </c>
    </row>
    <row r="60" spans="1:10" x14ac:dyDescent="0.25">
      <c r="A60" s="18" t="s">
        <v>3</v>
      </c>
      <c r="B60" s="17"/>
      <c r="C60" s="50" t="s">
        <v>112</v>
      </c>
      <c r="D60" s="288">
        <f>SUM(D61:D62)</f>
        <v>337241</v>
      </c>
      <c r="E60" s="288">
        <f t="shared" ref="E60:H60" si="34">SUM(E61:E62)</f>
        <v>0</v>
      </c>
      <c r="F60" s="288">
        <f t="shared" si="9"/>
        <v>337241</v>
      </c>
      <c r="G60" s="288">
        <f t="shared" si="34"/>
        <v>0</v>
      </c>
      <c r="H60" s="288">
        <f t="shared" si="34"/>
        <v>0</v>
      </c>
      <c r="I60" s="288">
        <f t="shared" si="7"/>
        <v>0</v>
      </c>
      <c r="J60" s="288">
        <f t="shared" si="10"/>
        <v>337241</v>
      </c>
    </row>
    <row r="61" spans="1:10" x14ac:dyDescent="0.25">
      <c r="A61" s="15"/>
      <c r="B61" s="9" t="s">
        <v>4</v>
      </c>
      <c r="C61" s="52" t="s">
        <v>5</v>
      </c>
      <c r="D61" s="16">
        <v>306999</v>
      </c>
      <c r="E61" s="16">
        <v>0</v>
      </c>
      <c r="F61" s="16">
        <f t="shared" si="9"/>
        <v>306999</v>
      </c>
      <c r="G61" s="16">
        <v>0</v>
      </c>
      <c r="H61" s="16">
        <v>0</v>
      </c>
      <c r="I61" s="16">
        <f t="shared" si="7"/>
        <v>0</v>
      </c>
      <c r="J61" s="16">
        <f t="shared" si="10"/>
        <v>306999</v>
      </c>
    </row>
    <row r="62" spans="1:10" x14ac:dyDescent="0.25">
      <c r="A62" s="15"/>
      <c r="B62" s="9" t="s">
        <v>6</v>
      </c>
      <c r="C62" s="52" t="s">
        <v>7</v>
      </c>
      <c r="D62" s="16">
        <v>30242</v>
      </c>
      <c r="E62" s="16">
        <v>0</v>
      </c>
      <c r="F62" s="16">
        <f t="shared" si="9"/>
        <v>30242</v>
      </c>
      <c r="G62" s="16">
        <v>0</v>
      </c>
      <c r="H62" s="16">
        <v>0</v>
      </c>
      <c r="I62" s="16">
        <f t="shared" si="7"/>
        <v>0</v>
      </c>
      <c r="J62" s="16">
        <f t="shared" si="10"/>
        <v>30242</v>
      </c>
    </row>
    <row r="63" spans="1:10" s="10" customFormat="1" x14ac:dyDescent="0.25">
      <c r="A63" s="27" t="s">
        <v>26</v>
      </c>
      <c r="B63" s="26"/>
      <c r="C63" s="49" t="s">
        <v>27</v>
      </c>
      <c r="D63" s="7">
        <f>D64+D68+D72+D74+D78+D83+D87+D91+D94+D98+D81</f>
        <v>40531693</v>
      </c>
      <c r="E63" s="7">
        <f>E64+E68+E72+E74+E78+E83+E87+E91+E94+E98+E81</f>
        <v>36639477</v>
      </c>
      <c r="F63" s="7">
        <f t="shared" si="9"/>
        <v>77171170</v>
      </c>
      <c r="G63" s="7">
        <f>G64+G68+G72+G74+G78+G83+G87+G91+G94+G98+G81</f>
        <v>2247793</v>
      </c>
      <c r="H63" s="7">
        <f>H64+H68+H72+H74+H78+H83+H87+H91+H94+H98+H81</f>
        <v>532335</v>
      </c>
      <c r="I63" s="7">
        <f t="shared" si="7"/>
        <v>2780128</v>
      </c>
      <c r="J63" s="7">
        <f t="shared" si="10"/>
        <v>79951298</v>
      </c>
    </row>
    <row r="64" spans="1:10" x14ac:dyDescent="0.25">
      <c r="A64" s="18" t="s">
        <v>31</v>
      </c>
      <c r="B64" s="17"/>
      <c r="C64" s="50" t="s">
        <v>122</v>
      </c>
      <c r="D64" s="288">
        <f>SUM(D65:D67)</f>
        <v>29231146</v>
      </c>
      <c r="E64" s="288">
        <f t="shared" ref="E64:H64" si="35">SUM(E65:E67)</f>
        <v>133146</v>
      </c>
      <c r="F64" s="288">
        <f t="shared" si="9"/>
        <v>29364292</v>
      </c>
      <c r="G64" s="288">
        <f t="shared" si="35"/>
        <v>24966</v>
      </c>
      <c r="H64" s="288">
        <f t="shared" si="35"/>
        <v>0</v>
      </c>
      <c r="I64" s="288">
        <f t="shared" si="7"/>
        <v>24966</v>
      </c>
      <c r="J64" s="288">
        <f t="shared" si="10"/>
        <v>29389258</v>
      </c>
    </row>
    <row r="65" spans="1:10" x14ac:dyDescent="0.25">
      <c r="A65" s="15"/>
      <c r="B65" s="9" t="s">
        <v>4</v>
      </c>
      <c r="C65" s="52" t="s">
        <v>5</v>
      </c>
      <c r="D65" s="16">
        <v>20642021</v>
      </c>
      <c r="E65" s="16">
        <v>60210</v>
      </c>
      <c r="F65" s="16">
        <f t="shared" si="9"/>
        <v>20702231</v>
      </c>
      <c r="G65" s="16">
        <v>0</v>
      </c>
      <c r="H65" s="16">
        <v>0</v>
      </c>
      <c r="I65" s="16">
        <f t="shared" si="7"/>
        <v>0</v>
      </c>
      <c r="J65" s="16">
        <f t="shared" si="10"/>
        <v>20702231</v>
      </c>
    </row>
    <row r="66" spans="1:10" x14ac:dyDescent="0.25">
      <c r="A66" s="15"/>
      <c r="B66" s="9" t="s">
        <v>6</v>
      </c>
      <c r="C66" s="52" t="s">
        <v>7</v>
      </c>
      <c r="D66" s="16">
        <v>4864125</v>
      </c>
      <c r="E66" s="16">
        <v>72936</v>
      </c>
      <c r="F66" s="16">
        <f t="shared" si="9"/>
        <v>4937061</v>
      </c>
      <c r="G66" s="16">
        <v>24966</v>
      </c>
      <c r="H66" s="16">
        <v>0</v>
      </c>
      <c r="I66" s="16">
        <f t="shared" si="7"/>
        <v>24966</v>
      </c>
      <c r="J66" s="16">
        <f t="shared" si="10"/>
        <v>4962027</v>
      </c>
    </row>
    <row r="67" spans="1:10" x14ac:dyDescent="0.25">
      <c r="A67" s="15"/>
      <c r="B67" s="9">
        <v>4</v>
      </c>
      <c r="C67" s="52" t="s">
        <v>15</v>
      </c>
      <c r="D67" s="16">
        <v>3725000</v>
      </c>
      <c r="E67" s="16">
        <v>0</v>
      </c>
      <c r="F67" s="16">
        <f t="shared" si="9"/>
        <v>3725000</v>
      </c>
      <c r="G67" s="16">
        <v>0</v>
      </c>
      <c r="H67" s="16">
        <v>0</v>
      </c>
      <c r="I67" s="16">
        <f t="shared" si="7"/>
        <v>0</v>
      </c>
      <c r="J67" s="16">
        <f t="shared" si="10"/>
        <v>3725000</v>
      </c>
    </row>
    <row r="68" spans="1:10" s="294" customFormat="1" x14ac:dyDescent="0.25">
      <c r="A68" s="18" t="s">
        <v>32</v>
      </c>
      <c r="B68" s="293"/>
      <c r="C68" s="50" t="s">
        <v>447</v>
      </c>
      <c r="D68" s="288">
        <f>SUM(D69:D71)</f>
        <v>9835270</v>
      </c>
      <c r="E68" s="288">
        <f t="shared" ref="E68:H68" si="36">SUM(E69:E71)</f>
        <v>21383874</v>
      </c>
      <c r="F68" s="288">
        <f t="shared" si="9"/>
        <v>31219144</v>
      </c>
      <c r="G68" s="288">
        <f t="shared" si="36"/>
        <v>490871</v>
      </c>
      <c r="H68" s="288">
        <f t="shared" si="36"/>
        <v>0</v>
      </c>
      <c r="I68" s="288">
        <f t="shared" si="7"/>
        <v>490871</v>
      </c>
      <c r="J68" s="288">
        <f t="shared" si="10"/>
        <v>31710015</v>
      </c>
    </row>
    <row r="69" spans="1:10" s="294" customFormat="1" x14ac:dyDescent="0.25">
      <c r="A69" s="295"/>
      <c r="B69" s="296" t="s">
        <v>4</v>
      </c>
      <c r="C69" s="51" t="s">
        <v>5</v>
      </c>
      <c r="D69" s="16">
        <v>5519412</v>
      </c>
      <c r="E69" s="16">
        <v>20266762</v>
      </c>
      <c r="F69" s="16">
        <f t="shared" si="9"/>
        <v>25786174</v>
      </c>
      <c r="G69" s="16">
        <v>255397</v>
      </c>
      <c r="H69" s="16">
        <v>0</v>
      </c>
      <c r="I69" s="16">
        <f t="shared" si="7"/>
        <v>255397</v>
      </c>
      <c r="J69" s="16">
        <f t="shared" si="10"/>
        <v>26041571</v>
      </c>
    </row>
    <row r="70" spans="1:10" s="294" customFormat="1" x14ac:dyDescent="0.25">
      <c r="A70" s="295"/>
      <c r="B70" s="296" t="s">
        <v>6</v>
      </c>
      <c r="C70" s="51" t="s">
        <v>7</v>
      </c>
      <c r="D70" s="16">
        <v>4315858</v>
      </c>
      <c r="E70" s="16">
        <v>1117112</v>
      </c>
      <c r="F70" s="16">
        <f t="shared" si="9"/>
        <v>5432970</v>
      </c>
      <c r="G70" s="16">
        <v>235474</v>
      </c>
      <c r="H70" s="16">
        <v>0</v>
      </c>
      <c r="I70" s="16">
        <f t="shared" si="7"/>
        <v>235474</v>
      </c>
      <c r="J70" s="16">
        <f t="shared" si="10"/>
        <v>5668444</v>
      </c>
    </row>
    <row r="71" spans="1:10" s="294" customFormat="1" x14ac:dyDescent="0.25">
      <c r="A71" s="295"/>
      <c r="B71" s="296" t="s">
        <v>8</v>
      </c>
      <c r="C71" s="51" t="s">
        <v>9</v>
      </c>
      <c r="D71" s="16">
        <v>0</v>
      </c>
      <c r="E71" s="16">
        <v>0</v>
      </c>
      <c r="F71" s="16">
        <f t="shared" si="9"/>
        <v>0</v>
      </c>
      <c r="G71" s="16">
        <v>0</v>
      </c>
      <c r="H71" s="16">
        <v>0</v>
      </c>
      <c r="I71" s="16">
        <f t="shared" si="7"/>
        <v>0</v>
      </c>
      <c r="J71" s="16">
        <f t="shared" si="10"/>
        <v>0</v>
      </c>
    </row>
    <row r="72" spans="1:10" s="294" customFormat="1" ht="26.25" x14ac:dyDescent="0.25">
      <c r="A72" s="18" t="s">
        <v>33</v>
      </c>
      <c r="B72" s="293"/>
      <c r="C72" s="50" t="s">
        <v>448</v>
      </c>
      <c r="D72" s="288">
        <f>SUM(D73:D73)</f>
        <v>7614</v>
      </c>
      <c r="E72" s="288">
        <f>SUM(E73:E73)</f>
        <v>4492685</v>
      </c>
      <c r="F72" s="288">
        <f t="shared" si="9"/>
        <v>4500299</v>
      </c>
      <c r="G72" s="288">
        <f>SUM(G73:G73)</f>
        <v>0</v>
      </c>
      <c r="H72" s="288">
        <f>SUM(H73:H73)</f>
        <v>0</v>
      </c>
      <c r="I72" s="288">
        <f t="shared" si="7"/>
        <v>0</v>
      </c>
      <c r="J72" s="288">
        <f t="shared" si="10"/>
        <v>4500299</v>
      </c>
    </row>
    <row r="73" spans="1:10" s="294" customFormat="1" x14ac:dyDescent="0.25">
      <c r="A73" s="295"/>
      <c r="B73" s="296" t="s">
        <v>4</v>
      </c>
      <c r="C73" s="51" t="s">
        <v>5</v>
      </c>
      <c r="D73" s="16">
        <v>7614</v>
      </c>
      <c r="E73" s="16">
        <v>4492685</v>
      </c>
      <c r="F73" s="16">
        <f t="shared" si="9"/>
        <v>4500299</v>
      </c>
      <c r="G73" s="16">
        <v>0</v>
      </c>
      <c r="H73" s="16">
        <v>0</v>
      </c>
      <c r="I73" s="16">
        <f t="shared" si="7"/>
        <v>0</v>
      </c>
      <c r="J73" s="16">
        <f t="shared" si="10"/>
        <v>4500299</v>
      </c>
    </row>
    <row r="74" spans="1:10" x14ac:dyDescent="0.25">
      <c r="A74" s="1" t="s">
        <v>184</v>
      </c>
      <c r="B74" s="17"/>
      <c r="C74" s="50" t="s">
        <v>126</v>
      </c>
      <c r="D74" s="288">
        <f>SUM(D75:D77)</f>
        <v>0</v>
      </c>
      <c r="E74" s="288">
        <f>SUM(E75:E77)</f>
        <v>7847048</v>
      </c>
      <c r="F74" s="288">
        <f t="shared" ref="F74:F133" si="37">D74+E74</f>
        <v>7847048</v>
      </c>
      <c r="G74" s="288">
        <f>SUM(G75:G77)</f>
        <v>967000</v>
      </c>
      <c r="H74" s="288">
        <f>SUM(H75:H77)</f>
        <v>532335</v>
      </c>
      <c r="I74" s="288">
        <f t="shared" ref="I74:I132" si="38">SUM(G74:H74)</f>
        <v>1499335</v>
      </c>
      <c r="J74" s="288">
        <f t="shared" ref="J74:J133" si="39">I74+F74</f>
        <v>9346383</v>
      </c>
    </row>
    <row r="75" spans="1:10" x14ac:dyDescent="0.25">
      <c r="A75" s="15"/>
      <c r="B75" s="9" t="s">
        <v>4</v>
      </c>
      <c r="C75" s="52" t="s">
        <v>5</v>
      </c>
      <c r="D75" s="16">
        <v>0</v>
      </c>
      <c r="E75" s="16">
        <v>5846874</v>
      </c>
      <c r="F75" s="16">
        <f t="shared" si="37"/>
        <v>5846874</v>
      </c>
      <c r="G75" s="16">
        <v>474306</v>
      </c>
      <c r="H75" s="16">
        <v>100350</v>
      </c>
      <c r="I75" s="16">
        <f t="shared" si="38"/>
        <v>574656</v>
      </c>
      <c r="J75" s="16">
        <f t="shared" si="39"/>
        <v>6421530</v>
      </c>
    </row>
    <row r="76" spans="1:10" x14ac:dyDescent="0.25">
      <c r="A76" s="15"/>
      <c r="B76" s="9" t="s">
        <v>6</v>
      </c>
      <c r="C76" s="52" t="s">
        <v>7</v>
      </c>
      <c r="D76" s="16">
        <v>0</v>
      </c>
      <c r="E76" s="16">
        <v>1237394</v>
      </c>
      <c r="F76" s="16">
        <f t="shared" si="37"/>
        <v>1237394</v>
      </c>
      <c r="G76" s="16">
        <v>492694</v>
      </c>
      <c r="H76" s="16">
        <v>326985</v>
      </c>
      <c r="I76" s="16">
        <f t="shared" si="38"/>
        <v>819679</v>
      </c>
      <c r="J76" s="16">
        <f t="shared" si="39"/>
        <v>2057073</v>
      </c>
    </row>
    <row r="77" spans="1:10" x14ac:dyDescent="0.25">
      <c r="A77" s="15"/>
      <c r="B77" s="9">
        <v>4</v>
      </c>
      <c r="C77" s="52" t="s">
        <v>15</v>
      </c>
      <c r="D77" s="16">
        <v>0</v>
      </c>
      <c r="E77" s="16">
        <v>762780</v>
      </c>
      <c r="F77" s="16">
        <f t="shared" si="37"/>
        <v>762780</v>
      </c>
      <c r="G77" s="16">
        <v>0</v>
      </c>
      <c r="H77" s="16">
        <v>105000</v>
      </c>
      <c r="I77" s="16">
        <f t="shared" si="38"/>
        <v>105000</v>
      </c>
      <c r="J77" s="16">
        <f t="shared" si="39"/>
        <v>867780</v>
      </c>
    </row>
    <row r="78" spans="1:10" ht="39" x14ac:dyDescent="0.25">
      <c r="A78" s="18" t="s">
        <v>35</v>
      </c>
      <c r="B78" s="17"/>
      <c r="C78" s="50" t="s">
        <v>425</v>
      </c>
      <c r="D78" s="288">
        <f>SUM(D79:D80)</f>
        <v>0</v>
      </c>
      <c r="E78" s="288">
        <f t="shared" ref="E78:H78" si="40">SUM(E79:E80)</f>
        <v>40000</v>
      </c>
      <c r="F78" s="288">
        <f t="shared" si="37"/>
        <v>40000</v>
      </c>
      <c r="G78" s="288">
        <f t="shared" si="40"/>
        <v>420000</v>
      </c>
      <c r="H78" s="288">
        <f t="shared" si="40"/>
        <v>0</v>
      </c>
      <c r="I78" s="288">
        <f t="shared" si="38"/>
        <v>420000</v>
      </c>
      <c r="J78" s="288">
        <f t="shared" si="39"/>
        <v>460000</v>
      </c>
    </row>
    <row r="79" spans="1:10" x14ac:dyDescent="0.25">
      <c r="A79" s="15"/>
      <c r="B79" s="9" t="s">
        <v>4</v>
      </c>
      <c r="C79" s="52" t="s">
        <v>5</v>
      </c>
      <c r="D79" s="16">
        <v>0</v>
      </c>
      <c r="E79" s="16">
        <v>0</v>
      </c>
      <c r="F79" s="16">
        <f t="shared" si="37"/>
        <v>0</v>
      </c>
      <c r="G79" s="16">
        <v>264121</v>
      </c>
      <c r="H79" s="16">
        <v>0</v>
      </c>
      <c r="I79" s="16">
        <f t="shared" si="38"/>
        <v>264121</v>
      </c>
      <c r="J79" s="16">
        <f t="shared" si="39"/>
        <v>264121</v>
      </c>
    </row>
    <row r="80" spans="1:10" x14ac:dyDescent="0.25">
      <c r="A80" s="15"/>
      <c r="B80" s="9" t="s">
        <v>6</v>
      </c>
      <c r="C80" s="52" t="s">
        <v>7</v>
      </c>
      <c r="D80" s="16">
        <v>0</v>
      </c>
      <c r="E80" s="16">
        <v>40000</v>
      </c>
      <c r="F80" s="16">
        <f t="shared" si="37"/>
        <v>40000</v>
      </c>
      <c r="G80" s="16">
        <v>155879</v>
      </c>
      <c r="H80" s="16">
        <v>0</v>
      </c>
      <c r="I80" s="16">
        <f t="shared" si="38"/>
        <v>155879</v>
      </c>
      <c r="J80" s="16">
        <f t="shared" si="39"/>
        <v>195879</v>
      </c>
    </row>
    <row r="81" spans="1:10" s="2" customFormat="1" ht="26.25" x14ac:dyDescent="0.25">
      <c r="A81" s="1" t="s">
        <v>174</v>
      </c>
      <c r="B81" s="17"/>
      <c r="C81" s="50" t="s">
        <v>549</v>
      </c>
      <c r="D81" s="288">
        <f>SUM(D82)</f>
        <v>155480</v>
      </c>
      <c r="E81" s="288">
        <f t="shared" ref="E81" si="41">SUM(E82)</f>
        <v>0</v>
      </c>
      <c r="F81" s="288">
        <f t="shared" si="37"/>
        <v>155480</v>
      </c>
      <c r="G81" s="288">
        <f>SUM(G82:G83)</f>
        <v>0</v>
      </c>
      <c r="H81" s="288">
        <f>SUM(H82:H83)</f>
        <v>0</v>
      </c>
      <c r="I81" s="288">
        <f t="shared" si="38"/>
        <v>0</v>
      </c>
      <c r="J81" s="288">
        <f t="shared" si="39"/>
        <v>155480</v>
      </c>
    </row>
    <row r="82" spans="1:10" s="2" customFormat="1" x14ac:dyDescent="0.25">
      <c r="A82" s="15"/>
      <c r="B82" s="9">
        <v>55</v>
      </c>
      <c r="C82" s="52" t="s">
        <v>7</v>
      </c>
      <c r="D82" s="16">
        <v>155480</v>
      </c>
      <c r="E82" s="16"/>
      <c r="F82" s="16">
        <f t="shared" si="37"/>
        <v>155480</v>
      </c>
      <c r="G82" s="16">
        <v>0</v>
      </c>
      <c r="H82" s="16">
        <v>0</v>
      </c>
      <c r="I82" s="16">
        <f t="shared" si="38"/>
        <v>0</v>
      </c>
      <c r="J82" s="16">
        <f t="shared" si="39"/>
        <v>155480</v>
      </c>
    </row>
    <row r="83" spans="1:10" x14ac:dyDescent="0.25">
      <c r="A83" s="18" t="s">
        <v>36</v>
      </c>
      <c r="B83" s="17"/>
      <c r="C83" s="50" t="s">
        <v>125</v>
      </c>
      <c r="D83" s="288">
        <f>SUM(D84:D86)</f>
        <v>131900</v>
      </c>
      <c r="E83" s="288">
        <f t="shared" ref="E83:H83" si="42">SUM(E84:E86)</f>
        <v>119375</v>
      </c>
      <c r="F83" s="288">
        <f t="shared" si="37"/>
        <v>251275</v>
      </c>
      <c r="G83" s="288">
        <f t="shared" si="42"/>
        <v>0</v>
      </c>
      <c r="H83" s="288">
        <f t="shared" si="42"/>
        <v>0</v>
      </c>
      <c r="I83" s="288">
        <f t="shared" si="38"/>
        <v>0</v>
      </c>
      <c r="J83" s="288">
        <f t="shared" si="39"/>
        <v>251275</v>
      </c>
    </row>
    <row r="84" spans="1:10" x14ac:dyDescent="0.25">
      <c r="A84" s="15"/>
      <c r="B84" s="9" t="s">
        <v>4</v>
      </c>
      <c r="C84" s="52" t="s">
        <v>5</v>
      </c>
      <c r="D84" s="16">
        <v>40970</v>
      </c>
      <c r="E84" s="16">
        <v>0</v>
      </c>
      <c r="F84" s="16">
        <f t="shared" si="37"/>
        <v>40970</v>
      </c>
      <c r="G84" s="16">
        <v>0</v>
      </c>
      <c r="H84" s="16">
        <v>0</v>
      </c>
      <c r="I84" s="16">
        <f t="shared" si="38"/>
        <v>0</v>
      </c>
      <c r="J84" s="16">
        <f t="shared" si="39"/>
        <v>40970</v>
      </c>
    </row>
    <row r="85" spans="1:10" x14ac:dyDescent="0.25">
      <c r="A85" s="15"/>
      <c r="B85" s="9" t="s">
        <v>6</v>
      </c>
      <c r="C85" s="52" t="s">
        <v>7</v>
      </c>
      <c r="D85" s="16">
        <v>90930</v>
      </c>
      <c r="E85" s="16">
        <v>0</v>
      </c>
      <c r="F85" s="16">
        <f t="shared" si="37"/>
        <v>90930</v>
      </c>
      <c r="G85" s="16">
        <v>0</v>
      </c>
      <c r="H85" s="16">
        <v>0</v>
      </c>
      <c r="I85" s="16">
        <f t="shared" si="38"/>
        <v>0</v>
      </c>
      <c r="J85" s="16">
        <f t="shared" si="39"/>
        <v>90930</v>
      </c>
    </row>
    <row r="86" spans="1:10" x14ac:dyDescent="0.25">
      <c r="A86" s="15"/>
      <c r="B86" s="9">
        <v>4</v>
      </c>
      <c r="C86" s="52" t="s">
        <v>15</v>
      </c>
      <c r="D86" s="16">
        <v>0</v>
      </c>
      <c r="E86" s="16">
        <v>119375</v>
      </c>
      <c r="F86" s="16">
        <f t="shared" si="37"/>
        <v>119375</v>
      </c>
      <c r="G86" s="16">
        <v>0</v>
      </c>
      <c r="H86" s="16">
        <v>0</v>
      </c>
      <c r="I86" s="16">
        <f t="shared" si="38"/>
        <v>0</v>
      </c>
      <c r="J86" s="16">
        <f t="shared" si="39"/>
        <v>119375</v>
      </c>
    </row>
    <row r="87" spans="1:10" x14ac:dyDescent="0.25">
      <c r="A87" s="18" t="s">
        <v>37</v>
      </c>
      <c r="B87" s="17"/>
      <c r="C87" s="50" t="s">
        <v>124</v>
      </c>
      <c r="D87" s="288">
        <f>SUM(D88:D90)</f>
        <v>357753</v>
      </c>
      <c r="E87" s="288">
        <f t="shared" ref="E87:H87" si="43">SUM(E88:E90)</f>
        <v>2347498</v>
      </c>
      <c r="F87" s="288">
        <f t="shared" si="37"/>
        <v>2705251</v>
      </c>
      <c r="G87" s="288">
        <f t="shared" si="43"/>
        <v>0</v>
      </c>
      <c r="H87" s="288">
        <f t="shared" si="43"/>
        <v>0</v>
      </c>
      <c r="I87" s="288">
        <f t="shared" si="38"/>
        <v>0</v>
      </c>
      <c r="J87" s="288">
        <f t="shared" si="39"/>
        <v>2705251</v>
      </c>
    </row>
    <row r="88" spans="1:10" x14ac:dyDescent="0.25">
      <c r="A88" s="15"/>
      <c r="B88" s="9" t="s">
        <v>4</v>
      </c>
      <c r="C88" s="52" t="s">
        <v>5</v>
      </c>
      <c r="D88" s="16">
        <v>45326</v>
      </c>
      <c r="E88" s="16">
        <v>0</v>
      </c>
      <c r="F88" s="16">
        <f t="shared" si="37"/>
        <v>45326</v>
      </c>
      <c r="G88" s="16">
        <v>0</v>
      </c>
      <c r="H88" s="16">
        <v>0</v>
      </c>
      <c r="I88" s="16">
        <f t="shared" si="38"/>
        <v>0</v>
      </c>
      <c r="J88" s="16">
        <f t="shared" si="39"/>
        <v>45326</v>
      </c>
    </row>
    <row r="89" spans="1:10" x14ac:dyDescent="0.25">
      <c r="A89" s="15"/>
      <c r="B89" s="9" t="s">
        <v>6</v>
      </c>
      <c r="C89" s="52" t="s">
        <v>7</v>
      </c>
      <c r="D89" s="16">
        <v>312427</v>
      </c>
      <c r="E89" s="16">
        <v>2112075</v>
      </c>
      <c r="F89" s="16">
        <f t="shared" si="37"/>
        <v>2424502</v>
      </c>
      <c r="G89" s="16">
        <v>0</v>
      </c>
      <c r="H89" s="16">
        <v>0</v>
      </c>
      <c r="I89" s="16">
        <f t="shared" si="38"/>
        <v>0</v>
      </c>
      <c r="J89" s="16">
        <f t="shared" si="39"/>
        <v>2424502</v>
      </c>
    </row>
    <row r="90" spans="1:10" x14ac:dyDescent="0.25">
      <c r="A90" s="15"/>
      <c r="B90" s="9">
        <v>4</v>
      </c>
      <c r="C90" s="52" t="s">
        <v>15</v>
      </c>
      <c r="D90" s="16">
        <v>0</v>
      </c>
      <c r="E90" s="16">
        <v>235423</v>
      </c>
      <c r="F90" s="16">
        <f t="shared" si="37"/>
        <v>235423</v>
      </c>
      <c r="G90" s="16">
        <v>0</v>
      </c>
      <c r="H90" s="16">
        <v>0</v>
      </c>
      <c r="I90" s="16">
        <f t="shared" si="38"/>
        <v>0</v>
      </c>
      <c r="J90" s="16">
        <f t="shared" si="39"/>
        <v>235423</v>
      </c>
    </row>
    <row r="91" spans="1:10" x14ac:dyDescent="0.25">
      <c r="A91" s="18" t="s">
        <v>38</v>
      </c>
      <c r="B91" s="17"/>
      <c r="C91" s="51" t="s">
        <v>431</v>
      </c>
      <c r="D91" s="16">
        <f>SUM(D92:D93)</f>
        <v>0</v>
      </c>
      <c r="E91" s="16">
        <f t="shared" ref="E91:H91" si="44">SUM(E92:E93)</f>
        <v>28000</v>
      </c>
      <c r="F91" s="16">
        <f t="shared" si="37"/>
        <v>28000</v>
      </c>
      <c r="G91" s="16">
        <f t="shared" si="44"/>
        <v>280000</v>
      </c>
      <c r="H91" s="16">
        <f t="shared" si="44"/>
        <v>0</v>
      </c>
      <c r="I91" s="16">
        <f t="shared" si="38"/>
        <v>280000</v>
      </c>
      <c r="J91" s="16">
        <f t="shared" si="39"/>
        <v>308000</v>
      </c>
    </row>
    <row r="92" spans="1:10" x14ac:dyDescent="0.25">
      <c r="A92" s="15"/>
      <c r="B92" s="9" t="s">
        <v>4</v>
      </c>
      <c r="C92" s="52" t="s">
        <v>5</v>
      </c>
      <c r="D92" s="16">
        <v>0</v>
      </c>
      <c r="E92" s="16">
        <v>6320</v>
      </c>
      <c r="F92" s="16">
        <f t="shared" si="37"/>
        <v>6320</v>
      </c>
      <c r="G92" s="16">
        <v>176761</v>
      </c>
      <c r="H92" s="16">
        <v>0</v>
      </c>
      <c r="I92" s="16">
        <f t="shared" si="38"/>
        <v>176761</v>
      </c>
      <c r="J92" s="16">
        <f t="shared" si="39"/>
        <v>183081</v>
      </c>
    </row>
    <row r="93" spans="1:10" x14ac:dyDescent="0.25">
      <c r="A93" s="15"/>
      <c r="B93" s="9" t="s">
        <v>6</v>
      </c>
      <c r="C93" s="52" t="s">
        <v>7</v>
      </c>
      <c r="D93" s="16">
        <v>0</v>
      </c>
      <c r="E93" s="16">
        <v>21680</v>
      </c>
      <c r="F93" s="16">
        <f t="shared" si="37"/>
        <v>21680</v>
      </c>
      <c r="G93" s="16">
        <v>103239</v>
      </c>
      <c r="H93" s="16">
        <v>0</v>
      </c>
      <c r="I93" s="16">
        <f t="shared" si="38"/>
        <v>103239</v>
      </c>
      <c r="J93" s="16">
        <f t="shared" si="39"/>
        <v>124919</v>
      </c>
    </row>
    <row r="94" spans="1:10" x14ac:dyDescent="0.25">
      <c r="A94" s="18" t="s">
        <v>39</v>
      </c>
      <c r="B94" s="17"/>
      <c r="C94" s="50" t="s">
        <v>123</v>
      </c>
      <c r="D94" s="288">
        <f>SUM(D95:D97)</f>
        <v>777530</v>
      </c>
      <c r="E94" s="288">
        <f t="shared" ref="E94:H94" si="45">SUM(E95:E97)</f>
        <v>247851</v>
      </c>
      <c r="F94" s="288">
        <f t="shared" si="37"/>
        <v>1025381</v>
      </c>
      <c r="G94" s="288">
        <f t="shared" si="45"/>
        <v>64956</v>
      </c>
      <c r="H94" s="288">
        <f t="shared" si="45"/>
        <v>0</v>
      </c>
      <c r="I94" s="288">
        <f t="shared" si="38"/>
        <v>64956</v>
      </c>
      <c r="J94" s="288">
        <f t="shared" si="39"/>
        <v>1090337</v>
      </c>
    </row>
    <row r="95" spans="1:10" x14ac:dyDescent="0.25">
      <c r="A95" s="15"/>
      <c r="B95" s="9" t="s">
        <v>4</v>
      </c>
      <c r="C95" s="52" t="s">
        <v>5</v>
      </c>
      <c r="D95" s="16">
        <v>300967</v>
      </c>
      <c r="E95" s="16">
        <v>200298</v>
      </c>
      <c r="F95" s="16">
        <f t="shared" si="37"/>
        <v>501265</v>
      </c>
      <c r="G95" s="16">
        <v>63956</v>
      </c>
      <c r="H95" s="16">
        <v>0</v>
      </c>
      <c r="I95" s="16">
        <f t="shared" si="38"/>
        <v>63956</v>
      </c>
      <c r="J95" s="16">
        <f t="shared" si="39"/>
        <v>565221</v>
      </c>
    </row>
    <row r="96" spans="1:10" x14ac:dyDescent="0.25">
      <c r="A96" s="15"/>
      <c r="B96" s="9" t="s">
        <v>6</v>
      </c>
      <c r="C96" s="52" t="s">
        <v>7</v>
      </c>
      <c r="D96" s="16">
        <v>204663</v>
      </c>
      <c r="E96" s="16">
        <v>47553</v>
      </c>
      <c r="F96" s="16">
        <f t="shared" si="37"/>
        <v>252216</v>
      </c>
      <c r="G96" s="16">
        <v>1000</v>
      </c>
      <c r="H96" s="16">
        <v>0</v>
      </c>
      <c r="I96" s="16">
        <f t="shared" si="38"/>
        <v>1000</v>
      </c>
      <c r="J96" s="16">
        <f t="shared" si="39"/>
        <v>253216</v>
      </c>
    </row>
    <row r="97" spans="1:11" x14ac:dyDescent="0.25">
      <c r="A97" s="15"/>
      <c r="B97" s="9">
        <v>4</v>
      </c>
      <c r="C97" s="52" t="s">
        <v>15</v>
      </c>
      <c r="D97" s="16">
        <v>271900</v>
      </c>
      <c r="E97" s="16">
        <v>0</v>
      </c>
      <c r="F97" s="16">
        <f t="shared" si="37"/>
        <v>271900</v>
      </c>
      <c r="G97" s="16">
        <v>0</v>
      </c>
      <c r="H97" s="16">
        <v>0</v>
      </c>
      <c r="I97" s="16">
        <f t="shared" si="38"/>
        <v>0</v>
      </c>
      <c r="J97" s="16">
        <f t="shared" si="39"/>
        <v>271900</v>
      </c>
    </row>
    <row r="98" spans="1:11" x14ac:dyDescent="0.25">
      <c r="A98" s="18" t="s">
        <v>28</v>
      </c>
      <c r="B98" s="17"/>
      <c r="C98" s="50" t="s">
        <v>121</v>
      </c>
      <c r="D98" s="16">
        <f>SUM(D99:D99)</f>
        <v>35000</v>
      </c>
      <c r="E98" s="16">
        <f>SUM(E99:E99)</f>
        <v>0</v>
      </c>
      <c r="F98" s="16">
        <f t="shared" si="37"/>
        <v>35000</v>
      </c>
      <c r="G98" s="16">
        <f>SUM(G99:G99)</f>
        <v>0</v>
      </c>
      <c r="H98" s="16">
        <f>SUM(H99:H99)</f>
        <v>0</v>
      </c>
      <c r="I98" s="16">
        <f t="shared" si="38"/>
        <v>0</v>
      </c>
      <c r="J98" s="16">
        <f t="shared" si="39"/>
        <v>35000</v>
      </c>
    </row>
    <row r="99" spans="1:11" x14ac:dyDescent="0.25">
      <c r="A99" s="15"/>
      <c r="B99" s="9" t="s">
        <v>6</v>
      </c>
      <c r="C99" s="52" t="s">
        <v>7</v>
      </c>
      <c r="D99" s="16">
        <v>35000</v>
      </c>
      <c r="E99" s="16">
        <v>0</v>
      </c>
      <c r="F99" s="16">
        <f t="shared" si="37"/>
        <v>35000</v>
      </c>
      <c r="G99" s="16">
        <v>0</v>
      </c>
      <c r="H99" s="16">
        <v>0</v>
      </c>
      <c r="I99" s="16">
        <f t="shared" si="38"/>
        <v>0</v>
      </c>
      <c r="J99" s="16">
        <f t="shared" si="39"/>
        <v>35000</v>
      </c>
    </row>
    <row r="100" spans="1:11" x14ac:dyDescent="0.25">
      <c r="A100" s="8" t="s">
        <v>40</v>
      </c>
      <c r="B100" s="5"/>
      <c r="C100" s="53"/>
      <c r="D100" s="3">
        <f t="shared" ref="D100:H100" si="46">D101+D105+D138</f>
        <v>11795089</v>
      </c>
      <c r="E100" s="3">
        <f t="shared" si="46"/>
        <v>595634</v>
      </c>
      <c r="F100" s="7">
        <f t="shared" si="37"/>
        <v>12390723</v>
      </c>
      <c r="G100" s="3">
        <f t="shared" si="46"/>
        <v>540813</v>
      </c>
      <c r="H100" s="3">
        <f t="shared" si="46"/>
        <v>0</v>
      </c>
      <c r="I100" s="7">
        <f t="shared" si="38"/>
        <v>540813</v>
      </c>
      <c r="J100" s="7">
        <f t="shared" si="39"/>
        <v>12931536</v>
      </c>
    </row>
    <row r="101" spans="1:11" s="10" customFormat="1" x14ac:dyDescent="0.25">
      <c r="A101" s="27" t="s">
        <v>1</v>
      </c>
      <c r="B101" s="26"/>
      <c r="C101" s="49" t="s">
        <v>2</v>
      </c>
      <c r="D101" s="7">
        <f>D102</f>
        <v>313520</v>
      </c>
      <c r="E101" s="7">
        <f t="shared" ref="E101:H101" si="47">E102</f>
        <v>0</v>
      </c>
      <c r="F101" s="7">
        <f t="shared" si="37"/>
        <v>313520</v>
      </c>
      <c r="G101" s="7">
        <f t="shared" si="47"/>
        <v>0</v>
      </c>
      <c r="H101" s="7">
        <f t="shared" si="47"/>
        <v>0</v>
      </c>
      <c r="I101" s="7">
        <f t="shared" si="38"/>
        <v>0</v>
      </c>
      <c r="J101" s="7">
        <f t="shared" si="39"/>
        <v>313520</v>
      </c>
    </row>
    <row r="102" spans="1:11" x14ac:dyDescent="0.25">
      <c r="A102" s="18" t="s">
        <v>3</v>
      </c>
      <c r="B102" s="17"/>
      <c r="C102" s="50" t="s">
        <v>112</v>
      </c>
      <c r="D102" s="288">
        <f>SUM(D103:D104)</f>
        <v>313520</v>
      </c>
      <c r="E102" s="288">
        <f t="shared" ref="E102:H102" si="48">SUM(E103:E104)</f>
        <v>0</v>
      </c>
      <c r="F102" s="288">
        <f t="shared" si="37"/>
        <v>313520</v>
      </c>
      <c r="G102" s="288">
        <f t="shared" si="48"/>
        <v>0</v>
      </c>
      <c r="H102" s="288">
        <f t="shared" si="48"/>
        <v>0</v>
      </c>
      <c r="I102" s="288">
        <f t="shared" si="38"/>
        <v>0</v>
      </c>
      <c r="J102" s="288">
        <f t="shared" si="39"/>
        <v>313520</v>
      </c>
    </row>
    <row r="103" spans="1:11" x14ac:dyDescent="0.25">
      <c r="A103" s="15"/>
      <c r="B103" s="9" t="s">
        <v>4</v>
      </c>
      <c r="C103" s="52" t="s">
        <v>5</v>
      </c>
      <c r="D103" s="16">
        <v>289365</v>
      </c>
      <c r="E103" s="16">
        <v>0</v>
      </c>
      <c r="F103" s="16">
        <f t="shared" si="37"/>
        <v>289365</v>
      </c>
      <c r="G103" s="16">
        <v>0</v>
      </c>
      <c r="H103" s="16">
        <v>0</v>
      </c>
      <c r="I103" s="16">
        <f t="shared" si="38"/>
        <v>0</v>
      </c>
      <c r="J103" s="16">
        <f t="shared" si="39"/>
        <v>289365</v>
      </c>
    </row>
    <row r="104" spans="1:11" x14ac:dyDescent="0.25">
      <c r="A104" s="15"/>
      <c r="B104" s="9" t="s">
        <v>6</v>
      </c>
      <c r="C104" s="52" t="s">
        <v>7</v>
      </c>
      <c r="D104" s="16">
        <v>24155</v>
      </c>
      <c r="E104" s="16">
        <v>0</v>
      </c>
      <c r="F104" s="16">
        <f t="shared" si="37"/>
        <v>24155</v>
      </c>
      <c r="G104" s="16">
        <v>0</v>
      </c>
      <c r="H104" s="16">
        <v>0</v>
      </c>
      <c r="I104" s="16">
        <f t="shared" si="38"/>
        <v>0</v>
      </c>
      <c r="J104" s="16">
        <f t="shared" si="39"/>
        <v>24155</v>
      </c>
    </row>
    <row r="105" spans="1:11" s="10" customFormat="1" x14ac:dyDescent="0.25">
      <c r="A105" s="27" t="s">
        <v>17</v>
      </c>
      <c r="B105" s="26"/>
      <c r="C105" s="49" t="s">
        <v>18</v>
      </c>
      <c r="D105" s="7">
        <f t="shared" ref="D105:H105" si="49">D106+D108+D110+D112+D114+D118+D122+D126+D130+D132+D134</f>
        <v>8384006</v>
      </c>
      <c r="E105" s="7">
        <f t="shared" si="49"/>
        <v>253269</v>
      </c>
      <c r="F105" s="7">
        <f t="shared" si="37"/>
        <v>8637275</v>
      </c>
      <c r="G105" s="7">
        <f t="shared" si="49"/>
        <v>331918</v>
      </c>
      <c r="H105" s="7">
        <f t="shared" si="49"/>
        <v>0</v>
      </c>
      <c r="I105" s="7">
        <f t="shared" si="38"/>
        <v>331918</v>
      </c>
      <c r="J105" s="7">
        <f t="shared" si="39"/>
        <v>8969193</v>
      </c>
    </row>
    <row r="106" spans="1:11" x14ac:dyDescent="0.25">
      <c r="A106" s="18" t="s">
        <v>41</v>
      </c>
      <c r="B106" s="17"/>
      <c r="C106" s="50" t="s">
        <v>460</v>
      </c>
      <c r="D106" s="288">
        <f>D107</f>
        <v>1395840</v>
      </c>
      <c r="E106" s="288">
        <f t="shared" ref="E106:H106" si="50">E107</f>
        <v>144635</v>
      </c>
      <c r="F106" s="288">
        <f t="shared" si="37"/>
        <v>1540475</v>
      </c>
      <c r="G106" s="288">
        <f t="shared" si="50"/>
        <v>0</v>
      </c>
      <c r="H106" s="288">
        <f t="shared" si="50"/>
        <v>0</v>
      </c>
      <c r="I106" s="288">
        <f t="shared" si="38"/>
        <v>0</v>
      </c>
      <c r="J106" s="288">
        <f t="shared" si="39"/>
        <v>1540475</v>
      </c>
    </row>
    <row r="107" spans="1:11" x14ac:dyDescent="0.25">
      <c r="A107" s="15"/>
      <c r="B107" s="9">
        <v>4</v>
      </c>
      <c r="C107" s="52" t="s">
        <v>15</v>
      </c>
      <c r="D107" s="16">
        <v>1395840</v>
      </c>
      <c r="E107" s="16">
        <v>144635</v>
      </c>
      <c r="F107" s="16">
        <f t="shared" si="37"/>
        <v>1540475</v>
      </c>
      <c r="G107" s="16">
        <v>0</v>
      </c>
      <c r="H107" s="16">
        <v>0</v>
      </c>
      <c r="I107" s="16">
        <f t="shared" si="38"/>
        <v>0</v>
      </c>
      <c r="J107" s="16">
        <f t="shared" si="39"/>
        <v>1540475</v>
      </c>
    </row>
    <row r="108" spans="1:11" x14ac:dyDescent="0.25">
      <c r="A108" s="1" t="s">
        <v>41</v>
      </c>
      <c r="B108" s="17"/>
      <c r="C108" s="50" t="s">
        <v>128</v>
      </c>
      <c r="D108" s="288">
        <f>D109</f>
        <v>702254</v>
      </c>
      <c r="E108" s="288">
        <f t="shared" ref="E108:H108" si="51">E109</f>
        <v>0</v>
      </c>
      <c r="F108" s="288">
        <f t="shared" si="37"/>
        <v>702254</v>
      </c>
      <c r="G108" s="288">
        <f t="shared" si="51"/>
        <v>0</v>
      </c>
      <c r="H108" s="288">
        <f t="shared" si="51"/>
        <v>0</v>
      </c>
      <c r="I108" s="288">
        <f t="shared" si="38"/>
        <v>0</v>
      </c>
      <c r="J108" s="288">
        <f t="shared" si="39"/>
        <v>702254</v>
      </c>
    </row>
    <row r="109" spans="1:11" x14ac:dyDescent="0.25">
      <c r="A109" s="15"/>
      <c r="B109" s="9">
        <v>4</v>
      </c>
      <c r="C109" s="52" t="s">
        <v>15</v>
      </c>
      <c r="D109" s="16">
        <v>702254</v>
      </c>
      <c r="E109" s="16">
        <v>0</v>
      </c>
      <c r="F109" s="16">
        <f t="shared" si="37"/>
        <v>702254</v>
      </c>
      <c r="G109" s="16">
        <v>0</v>
      </c>
      <c r="H109" s="16">
        <v>0</v>
      </c>
      <c r="I109" s="16">
        <f t="shared" si="38"/>
        <v>0</v>
      </c>
      <c r="J109" s="16">
        <f t="shared" si="39"/>
        <v>702254</v>
      </c>
    </row>
    <row r="110" spans="1:11" x14ac:dyDescent="0.25">
      <c r="A110" s="18" t="s">
        <v>42</v>
      </c>
      <c r="B110" s="17"/>
      <c r="C110" s="50" t="s">
        <v>129</v>
      </c>
      <c r="D110" s="288">
        <f>D111</f>
        <v>177914</v>
      </c>
      <c r="E110" s="288">
        <f t="shared" ref="E110:H110" si="52">E111</f>
        <v>0</v>
      </c>
      <c r="F110" s="288">
        <f t="shared" si="37"/>
        <v>177914</v>
      </c>
      <c r="G110" s="288">
        <f t="shared" si="52"/>
        <v>0</v>
      </c>
      <c r="H110" s="288">
        <f t="shared" si="52"/>
        <v>0</v>
      </c>
      <c r="I110" s="288">
        <f t="shared" si="38"/>
        <v>0</v>
      </c>
      <c r="J110" s="288">
        <f t="shared" si="39"/>
        <v>177914</v>
      </c>
      <c r="K110" s="289"/>
    </row>
    <row r="111" spans="1:11" x14ac:dyDescent="0.25">
      <c r="A111" s="15"/>
      <c r="B111" s="9">
        <v>4</v>
      </c>
      <c r="C111" s="52" t="s">
        <v>15</v>
      </c>
      <c r="D111" s="16">
        <v>177914</v>
      </c>
      <c r="E111" s="16">
        <v>0</v>
      </c>
      <c r="F111" s="16">
        <f t="shared" si="37"/>
        <v>177914</v>
      </c>
      <c r="G111" s="16">
        <v>0</v>
      </c>
      <c r="H111" s="16">
        <v>0</v>
      </c>
      <c r="I111" s="16">
        <f t="shared" si="38"/>
        <v>0</v>
      </c>
      <c r="J111" s="16">
        <f t="shared" si="39"/>
        <v>177914</v>
      </c>
    </row>
    <row r="112" spans="1:11" ht="26.25" x14ac:dyDescent="0.25">
      <c r="A112" s="18" t="s">
        <v>43</v>
      </c>
      <c r="B112" s="17"/>
      <c r="C112" s="50" t="s">
        <v>459</v>
      </c>
      <c r="D112" s="288">
        <f>D113</f>
        <v>70550</v>
      </c>
      <c r="E112" s="288">
        <f t="shared" ref="E112:H112" si="53">E113</f>
        <v>0</v>
      </c>
      <c r="F112" s="288">
        <f t="shared" si="37"/>
        <v>70550</v>
      </c>
      <c r="G112" s="288">
        <f t="shared" si="53"/>
        <v>0</v>
      </c>
      <c r="H112" s="288">
        <f t="shared" si="53"/>
        <v>0</v>
      </c>
      <c r="I112" s="288">
        <f t="shared" si="38"/>
        <v>0</v>
      </c>
      <c r="J112" s="288">
        <f t="shared" si="39"/>
        <v>70550</v>
      </c>
    </row>
    <row r="113" spans="1:10" x14ac:dyDescent="0.25">
      <c r="A113" s="15"/>
      <c r="B113" s="9" t="s">
        <v>6</v>
      </c>
      <c r="C113" s="52" t="s">
        <v>7</v>
      </c>
      <c r="D113" s="16">
        <v>70550</v>
      </c>
      <c r="E113" s="16">
        <v>0</v>
      </c>
      <c r="F113" s="16">
        <f t="shared" si="37"/>
        <v>70550</v>
      </c>
      <c r="G113" s="16">
        <v>0</v>
      </c>
      <c r="H113" s="16">
        <v>0</v>
      </c>
      <c r="I113" s="16">
        <f t="shared" si="38"/>
        <v>0</v>
      </c>
      <c r="J113" s="16">
        <f t="shared" si="39"/>
        <v>70550</v>
      </c>
    </row>
    <row r="114" spans="1:10" x14ac:dyDescent="0.25">
      <c r="A114" s="18" t="s">
        <v>25</v>
      </c>
      <c r="B114" s="17"/>
      <c r="C114" s="50" t="s">
        <v>120</v>
      </c>
      <c r="D114" s="288">
        <f t="shared" ref="D114:H114" si="54">SUM(D115:D117)</f>
        <v>2160117</v>
      </c>
      <c r="E114" s="288">
        <f t="shared" si="54"/>
        <v>0</v>
      </c>
      <c r="F114" s="288">
        <f t="shared" si="37"/>
        <v>2160117</v>
      </c>
      <c r="G114" s="288">
        <f t="shared" si="54"/>
        <v>0</v>
      </c>
      <c r="H114" s="288">
        <f t="shared" si="54"/>
        <v>0</v>
      </c>
      <c r="I114" s="288">
        <f t="shared" si="38"/>
        <v>0</v>
      </c>
      <c r="J114" s="288">
        <f t="shared" si="39"/>
        <v>2160117</v>
      </c>
    </row>
    <row r="115" spans="1:10" x14ac:dyDescent="0.25">
      <c r="A115" s="15"/>
      <c r="B115" s="9" t="s">
        <v>4</v>
      </c>
      <c r="C115" s="52" t="s">
        <v>5</v>
      </c>
      <c r="D115" s="16">
        <v>10400</v>
      </c>
      <c r="E115" s="16">
        <v>0</v>
      </c>
      <c r="F115" s="16">
        <f t="shared" si="37"/>
        <v>10400</v>
      </c>
      <c r="G115" s="16">
        <v>0</v>
      </c>
      <c r="H115" s="16">
        <v>0</v>
      </c>
      <c r="I115" s="16">
        <f t="shared" si="38"/>
        <v>0</v>
      </c>
      <c r="J115" s="16">
        <f t="shared" si="39"/>
        <v>10400</v>
      </c>
    </row>
    <row r="116" spans="1:10" x14ac:dyDescent="0.25">
      <c r="A116" s="15"/>
      <c r="B116" s="9" t="s">
        <v>6</v>
      </c>
      <c r="C116" s="52" t="s">
        <v>7</v>
      </c>
      <c r="D116" s="16">
        <f>13000+587667</f>
        <v>600667</v>
      </c>
      <c r="E116" s="16">
        <v>0</v>
      </c>
      <c r="F116" s="16">
        <f t="shared" si="37"/>
        <v>600667</v>
      </c>
      <c r="G116" s="16">
        <v>0</v>
      </c>
      <c r="H116" s="16">
        <v>0</v>
      </c>
      <c r="I116" s="16">
        <f t="shared" si="38"/>
        <v>0</v>
      </c>
      <c r="J116" s="16">
        <f t="shared" si="39"/>
        <v>600667</v>
      </c>
    </row>
    <row r="117" spans="1:10" s="2" customFormat="1" x14ac:dyDescent="0.25">
      <c r="A117" s="15"/>
      <c r="B117" s="9">
        <v>4</v>
      </c>
      <c r="C117" s="52" t="s">
        <v>15</v>
      </c>
      <c r="D117" s="16">
        <f>25000+1537050-13000</f>
        <v>1549050</v>
      </c>
      <c r="E117" s="16">
        <v>0</v>
      </c>
      <c r="F117" s="16">
        <f t="shared" si="37"/>
        <v>1549050</v>
      </c>
      <c r="G117" s="16">
        <v>0</v>
      </c>
      <c r="H117" s="16">
        <v>0</v>
      </c>
      <c r="I117" s="16">
        <f t="shared" si="38"/>
        <v>0</v>
      </c>
      <c r="J117" s="16">
        <f t="shared" si="39"/>
        <v>1549050</v>
      </c>
    </row>
    <row r="118" spans="1:10" ht="26.25" x14ac:dyDescent="0.25">
      <c r="A118" s="18" t="s">
        <v>44</v>
      </c>
      <c r="B118" s="17"/>
      <c r="C118" s="50" t="s">
        <v>464</v>
      </c>
      <c r="D118" s="288">
        <f>SUM(D119:D121)</f>
        <v>1942565</v>
      </c>
      <c r="E118" s="288">
        <f t="shared" ref="E118:H118" si="55">SUM(E119:E121)</f>
        <v>108634</v>
      </c>
      <c r="F118" s="288">
        <f t="shared" si="37"/>
        <v>2051199</v>
      </c>
      <c r="G118" s="288">
        <f t="shared" si="55"/>
        <v>59294</v>
      </c>
      <c r="H118" s="288">
        <f t="shared" si="55"/>
        <v>0</v>
      </c>
      <c r="I118" s="288">
        <f t="shared" si="38"/>
        <v>59294</v>
      </c>
      <c r="J118" s="288">
        <f t="shared" si="39"/>
        <v>2110493</v>
      </c>
    </row>
    <row r="119" spans="1:10" x14ac:dyDescent="0.25">
      <c r="A119" s="15"/>
      <c r="B119" s="9" t="s">
        <v>4</v>
      </c>
      <c r="C119" s="52" t="s">
        <v>5</v>
      </c>
      <c r="D119" s="16">
        <v>1359912</v>
      </c>
      <c r="E119" s="16">
        <v>0</v>
      </c>
      <c r="F119" s="16">
        <f t="shared" si="37"/>
        <v>1359912</v>
      </c>
      <c r="G119" s="16">
        <v>38113</v>
      </c>
      <c r="H119" s="16">
        <v>0</v>
      </c>
      <c r="I119" s="16">
        <f t="shared" si="38"/>
        <v>38113</v>
      </c>
      <c r="J119" s="16">
        <f t="shared" si="39"/>
        <v>1398025</v>
      </c>
    </row>
    <row r="120" spans="1:10" x14ac:dyDescent="0.25">
      <c r="A120" s="15"/>
      <c r="B120" s="9" t="s">
        <v>6</v>
      </c>
      <c r="C120" s="52" t="s">
        <v>7</v>
      </c>
      <c r="D120" s="16">
        <v>578653</v>
      </c>
      <c r="E120" s="16">
        <v>108634</v>
      </c>
      <c r="F120" s="16">
        <f t="shared" si="37"/>
        <v>687287</v>
      </c>
      <c r="G120" s="16">
        <v>21181</v>
      </c>
      <c r="H120" s="16">
        <v>0</v>
      </c>
      <c r="I120" s="16">
        <f t="shared" si="38"/>
        <v>21181</v>
      </c>
      <c r="J120" s="16">
        <f t="shared" si="39"/>
        <v>708468</v>
      </c>
    </row>
    <row r="121" spans="1:10" x14ac:dyDescent="0.25">
      <c r="A121" s="15"/>
      <c r="B121" s="9">
        <v>4</v>
      </c>
      <c r="C121" s="52" t="s">
        <v>15</v>
      </c>
      <c r="D121" s="16">
        <v>4000</v>
      </c>
      <c r="E121" s="16">
        <v>0</v>
      </c>
      <c r="F121" s="16">
        <f t="shared" si="37"/>
        <v>4000</v>
      </c>
      <c r="G121" s="16">
        <v>0</v>
      </c>
      <c r="H121" s="16">
        <v>0</v>
      </c>
      <c r="I121" s="16">
        <f t="shared" si="38"/>
        <v>0</v>
      </c>
      <c r="J121" s="16">
        <f t="shared" si="39"/>
        <v>4000</v>
      </c>
    </row>
    <row r="122" spans="1:10" x14ac:dyDescent="0.25">
      <c r="A122" s="18" t="s">
        <v>45</v>
      </c>
      <c r="B122" s="17"/>
      <c r="C122" s="50" t="s">
        <v>130</v>
      </c>
      <c r="D122" s="288">
        <f>SUM(D123:D125)</f>
        <v>227623</v>
      </c>
      <c r="E122" s="288">
        <f t="shared" ref="E122:H122" si="56">SUM(E123:E125)</f>
        <v>0</v>
      </c>
      <c r="F122" s="288">
        <f t="shared" si="37"/>
        <v>227623</v>
      </c>
      <c r="G122" s="288">
        <f t="shared" si="56"/>
        <v>88624</v>
      </c>
      <c r="H122" s="288">
        <f t="shared" si="56"/>
        <v>0</v>
      </c>
      <c r="I122" s="288">
        <f t="shared" si="38"/>
        <v>88624</v>
      </c>
      <c r="J122" s="288">
        <f t="shared" si="39"/>
        <v>316247</v>
      </c>
    </row>
    <row r="123" spans="1:10" x14ac:dyDescent="0.25">
      <c r="A123" s="15"/>
      <c r="B123" s="9" t="s">
        <v>4</v>
      </c>
      <c r="C123" s="52" t="s">
        <v>5</v>
      </c>
      <c r="D123" s="16">
        <v>127757</v>
      </c>
      <c r="E123" s="16">
        <v>0</v>
      </c>
      <c r="F123" s="16">
        <f t="shared" si="37"/>
        <v>127757</v>
      </c>
      <c r="G123" s="16">
        <v>5620</v>
      </c>
      <c r="H123" s="16">
        <v>0</v>
      </c>
      <c r="I123" s="16">
        <f t="shared" si="38"/>
        <v>5620</v>
      </c>
      <c r="J123" s="16">
        <f t="shared" si="39"/>
        <v>133377</v>
      </c>
    </row>
    <row r="124" spans="1:10" x14ac:dyDescent="0.25">
      <c r="A124" s="15"/>
      <c r="B124" s="9" t="s">
        <v>6</v>
      </c>
      <c r="C124" s="52" t="s">
        <v>7</v>
      </c>
      <c r="D124" s="16">
        <v>69866</v>
      </c>
      <c r="E124" s="16">
        <v>0</v>
      </c>
      <c r="F124" s="16">
        <f t="shared" si="37"/>
        <v>69866</v>
      </c>
      <c r="G124" s="16">
        <v>83004</v>
      </c>
      <c r="H124" s="16">
        <v>0</v>
      </c>
      <c r="I124" s="16">
        <f t="shared" si="38"/>
        <v>83004</v>
      </c>
      <c r="J124" s="16">
        <f t="shared" si="39"/>
        <v>152870</v>
      </c>
    </row>
    <row r="125" spans="1:10" x14ac:dyDescent="0.25">
      <c r="A125" s="15"/>
      <c r="B125" s="9">
        <v>4</v>
      </c>
      <c r="C125" s="52" t="s">
        <v>15</v>
      </c>
      <c r="D125" s="16">
        <f>8500+21500</f>
        <v>30000</v>
      </c>
      <c r="E125" s="16">
        <v>0</v>
      </c>
      <c r="F125" s="16">
        <f t="shared" si="37"/>
        <v>30000</v>
      </c>
      <c r="G125" s="16">
        <v>0</v>
      </c>
      <c r="H125" s="16">
        <v>0</v>
      </c>
      <c r="I125" s="16">
        <f t="shared" si="38"/>
        <v>0</v>
      </c>
      <c r="J125" s="16">
        <f t="shared" si="39"/>
        <v>30000</v>
      </c>
    </row>
    <row r="126" spans="1:10" x14ac:dyDescent="0.25">
      <c r="A126" s="18" t="s">
        <v>46</v>
      </c>
      <c r="B126" s="17"/>
      <c r="C126" s="50" t="s">
        <v>131</v>
      </c>
      <c r="D126" s="288">
        <f>SUM(D127:D129)</f>
        <v>892751</v>
      </c>
      <c r="E126" s="288">
        <f t="shared" ref="E126:H126" si="57">SUM(E127:E129)</f>
        <v>0</v>
      </c>
      <c r="F126" s="288">
        <f t="shared" si="37"/>
        <v>892751</v>
      </c>
      <c r="G126" s="288">
        <f t="shared" si="57"/>
        <v>184000</v>
      </c>
      <c r="H126" s="288">
        <f t="shared" si="57"/>
        <v>0</v>
      </c>
      <c r="I126" s="288">
        <f t="shared" si="38"/>
        <v>184000</v>
      </c>
      <c r="J126" s="288">
        <f t="shared" si="39"/>
        <v>1076751</v>
      </c>
    </row>
    <row r="127" spans="1:10" x14ac:dyDescent="0.25">
      <c r="A127" s="15"/>
      <c r="B127" s="9" t="s">
        <v>4</v>
      </c>
      <c r="C127" s="52" t="s">
        <v>5</v>
      </c>
      <c r="D127" s="16">
        <v>630255</v>
      </c>
      <c r="E127" s="16">
        <v>0</v>
      </c>
      <c r="F127" s="16">
        <f t="shared" si="37"/>
        <v>630255</v>
      </c>
      <c r="G127" s="16">
        <v>50965</v>
      </c>
      <c r="H127" s="16">
        <v>0</v>
      </c>
      <c r="I127" s="16">
        <f t="shared" si="38"/>
        <v>50965</v>
      </c>
      <c r="J127" s="16">
        <f t="shared" si="39"/>
        <v>681220</v>
      </c>
    </row>
    <row r="128" spans="1:10" x14ac:dyDescent="0.25">
      <c r="A128" s="15"/>
      <c r="B128" s="9" t="s">
        <v>6</v>
      </c>
      <c r="C128" s="52" t="s">
        <v>7</v>
      </c>
      <c r="D128" s="16">
        <v>261336</v>
      </c>
      <c r="E128" s="16">
        <v>0</v>
      </c>
      <c r="F128" s="16">
        <f t="shared" si="37"/>
        <v>261336</v>
      </c>
      <c r="G128" s="16">
        <v>133035</v>
      </c>
      <c r="H128" s="16">
        <v>0</v>
      </c>
      <c r="I128" s="16">
        <f t="shared" si="38"/>
        <v>133035</v>
      </c>
      <c r="J128" s="16">
        <f t="shared" si="39"/>
        <v>394371</v>
      </c>
    </row>
    <row r="129" spans="1:10" x14ac:dyDescent="0.25">
      <c r="A129" s="15"/>
      <c r="B129" s="9">
        <v>4</v>
      </c>
      <c r="C129" s="52" t="s">
        <v>15</v>
      </c>
      <c r="D129" s="16">
        <v>1160</v>
      </c>
      <c r="E129" s="16">
        <v>0</v>
      </c>
      <c r="F129" s="16">
        <f t="shared" si="37"/>
        <v>1160</v>
      </c>
      <c r="G129" s="16">
        <v>0</v>
      </c>
      <c r="H129" s="16">
        <v>0</v>
      </c>
      <c r="I129" s="16">
        <f t="shared" si="38"/>
        <v>0</v>
      </c>
      <c r="J129" s="16">
        <f t="shared" si="39"/>
        <v>1160</v>
      </c>
    </row>
    <row r="130" spans="1:10" x14ac:dyDescent="0.25">
      <c r="A130" s="18" t="s">
        <v>19</v>
      </c>
      <c r="B130" s="17"/>
      <c r="C130" s="50" t="s">
        <v>115</v>
      </c>
      <c r="D130" s="288">
        <f>D131</f>
        <v>54828</v>
      </c>
      <c r="E130" s="288">
        <f t="shared" ref="E130:H130" si="58">E131</f>
        <v>0</v>
      </c>
      <c r="F130" s="288">
        <f t="shared" si="37"/>
        <v>54828</v>
      </c>
      <c r="G130" s="288">
        <f t="shared" si="58"/>
        <v>0</v>
      </c>
      <c r="H130" s="288">
        <f t="shared" si="58"/>
        <v>0</v>
      </c>
      <c r="I130" s="288">
        <f t="shared" si="38"/>
        <v>0</v>
      </c>
      <c r="J130" s="288">
        <f t="shared" si="39"/>
        <v>54828</v>
      </c>
    </row>
    <row r="131" spans="1:10" x14ac:dyDescent="0.25">
      <c r="A131" s="15"/>
      <c r="B131" s="9">
        <v>4</v>
      </c>
      <c r="C131" s="52" t="s">
        <v>15</v>
      </c>
      <c r="D131" s="16">
        <v>54828</v>
      </c>
      <c r="E131" s="16">
        <v>0</v>
      </c>
      <c r="F131" s="16">
        <f t="shared" si="37"/>
        <v>54828</v>
      </c>
      <c r="G131" s="16">
        <v>0</v>
      </c>
      <c r="H131" s="16">
        <v>0</v>
      </c>
      <c r="I131" s="16">
        <f t="shared" si="38"/>
        <v>0</v>
      </c>
      <c r="J131" s="16">
        <f t="shared" si="39"/>
        <v>54828</v>
      </c>
    </row>
    <row r="132" spans="1:10" x14ac:dyDescent="0.25">
      <c r="A132" s="18" t="s">
        <v>49</v>
      </c>
      <c r="B132" s="17"/>
      <c r="C132" s="50" t="s">
        <v>133</v>
      </c>
      <c r="D132" s="288">
        <f>D133</f>
        <v>6000</v>
      </c>
      <c r="E132" s="288">
        <f t="shared" ref="E132:H132" si="59">E133</f>
        <v>0</v>
      </c>
      <c r="F132" s="288">
        <f t="shared" si="37"/>
        <v>6000</v>
      </c>
      <c r="G132" s="288">
        <f t="shared" si="59"/>
        <v>0</v>
      </c>
      <c r="H132" s="288">
        <f t="shared" si="59"/>
        <v>0</v>
      </c>
      <c r="I132" s="288">
        <f t="shared" si="38"/>
        <v>0</v>
      </c>
      <c r="J132" s="288">
        <f t="shared" si="39"/>
        <v>6000</v>
      </c>
    </row>
    <row r="133" spans="1:10" x14ac:dyDescent="0.25">
      <c r="A133" s="15"/>
      <c r="B133" s="9">
        <v>4</v>
      </c>
      <c r="C133" s="52" t="s">
        <v>15</v>
      </c>
      <c r="D133" s="16">
        <v>6000</v>
      </c>
      <c r="E133" s="16">
        <v>0</v>
      </c>
      <c r="F133" s="16">
        <f t="shared" si="37"/>
        <v>6000</v>
      </c>
      <c r="G133" s="16">
        <v>0</v>
      </c>
      <c r="H133" s="16">
        <v>0</v>
      </c>
      <c r="I133" s="16">
        <f t="shared" ref="I133:I199" si="60">SUM(G133:H133)</f>
        <v>0</v>
      </c>
      <c r="J133" s="16">
        <f t="shared" si="39"/>
        <v>6000</v>
      </c>
    </row>
    <row r="134" spans="1:10" x14ac:dyDescent="0.25">
      <c r="A134" s="18" t="s">
        <v>50</v>
      </c>
      <c r="B134" s="17"/>
      <c r="C134" s="50" t="s">
        <v>134</v>
      </c>
      <c r="D134" s="288">
        <f t="shared" ref="D134:H134" si="61">SUM(D135:D137)</f>
        <v>753564</v>
      </c>
      <c r="E134" s="288">
        <f t="shared" si="61"/>
        <v>0</v>
      </c>
      <c r="F134" s="288">
        <f t="shared" ref="F134:F200" si="62">D134+E134</f>
        <v>753564</v>
      </c>
      <c r="G134" s="288">
        <f t="shared" si="61"/>
        <v>0</v>
      </c>
      <c r="H134" s="288">
        <f t="shared" si="61"/>
        <v>0</v>
      </c>
      <c r="I134" s="288">
        <f t="shared" si="60"/>
        <v>0</v>
      </c>
      <c r="J134" s="288">
        <f t="shared" ref="J134:J200" si="63">I134+F134</f>
        <v>753564</v>
      </c>
    </row>
    <row r="135" spans="1:10" x14ac:dyDescent="0.25">
      <c r="A135" s="15"/>
      <c r="B135" s="9" t="s">
        <v>4</v>
      </c>
      <c r="C135" s="52" t="s">
        <v>5</v>
      </c>
      <c r="D135" s="16">
        <v>140763</v>
      </c>
      <c r="E135" s="16">
        <v>0</v>
      </c>
      <c r="F135" s="16">
        <f t="shared" si="62"/>
        <v>140763</v>
      </c>
      <c r="G135" s="16">
        <v>0</v>
      </c>
      <c r="H135" s="16">
        <v>0</v>
      </c>
      <c r="I135" s="16">
        <f t="shared" si="60"/>
        <v>0</v>
      </c>
      <c r="J135" s="16">
        <f t="shared" si="63"/>
        <v>140763</v>
      </c>
    </row>
    <row r="136" spans="1:10" x14ac:dyDescent="0.25">
      <c r="A136" s="15"/>
      <c r="B136" s="9" t="s">
        <v>6</v>
      </c>
      <c r="C136" s="52" t="s">
        <v>7</v>
      </c>
      <c r="D136" s="16">
        <v>435156</v>
      </c>
      <c r="E136" s="16">
        <v>0</v>
      </c>
      <c r="F136" s="16">
        <f t="shared" si="62"/>
        <v>435156</v>
      </c>
      <c r="G136" s="16">
        <v>0</v>
      </c>
      <c r="H136" s="16">
        <v>0</v>
      </c>
      <c r="I136" s="16">
        <f t="shared" si="60"/>
        <v>0</v>
      </c>
      <c r="J136" s="16">
        <f t="shared" si="63"/>
        <v>435156</v>
      </c>
    </row>
    <row r="137" spans="1:10" s="2" customFormat="1" x14ac:dyDescent="0.25">
      <c r="A137" s="15"/>
      <c r="B137" s="9">
        <v>4</v>
      </c>
      <c r="C137" s="52" t="s">
        <v>15</v>
      </c>
      <c r="D137" s="16">
        <v>177645</v>
      </c>
      <c r="E137" s="16">
        <v>0</v>
      </c>
      <c r="F137" s="16">
        <f t="shared" si="62"/>
        <v>177645</v>
      </c>
      <c r="G137" s="16">
        <v>0</v>
      </c>
      <c r="H137" s="16">
        <v>0</v>
      </c>
      <c r="I137" s="16">
        <f t="shared" si="60"/>
        <v>0</v>
      </c>
      <c r="J137" s="16">
        <f t="shared" si="63"/>
        <v>177645</v>
      </c>
    </row>
    <row r="138" spans="1:10" s="10" customFormat="1" x14ac:dyDescent="0.25">
      <c r="A138" s="27" t="s">
        <v>26</v>
      </c>
      <c r="B138" s="26"/>
      <c r="C138" s="49" t="s">
        <v>27</v>
      </c>
      <c r="D138" s="7">
        <f>D139+D141+D145</f>
        <v>3097563</v>
      </c>
      <c r="E138" s="7">
        <f t="shared" ref="E138:H138" si="64">E139+E141+E145</f>
        <v>342365</v>
      </c>
      <c r="F138" s="7">
        <f t="shared" si="62"/>
        <v>3439928</v>
      </c>
      <c r="G138" s="7">
        <f t="shared" si="64"/>
        <v>208895</v>
      </c>
      <c r="H138" s="7">
        <f t="shared" si="64"/>
        <v>0</v>
      </c>
      <c r="I138" s="7">
        <f t="shared" si="60"/>
        <v>208895</v>
      </c>
      <c r="J138" s="7">
        <f t="shared" si="63"/>
        <v>3648823</v>
      </c>
    </row>
    <row r="139" spans="1:10" ht="26.25" x14ac:dyDescent="0.25">
      <c r="A139" s="18" t="s">
        <v>35</v>
      </c>
      <c r="B139" s="17"/>
      <c r="C139" s="50" t="s">
        <v>135</v>
      </c>
      <c r="D139" s="288">
        <f>D140</f>
        <v>50820</v>
      </c>
      <c r="E139" s="288">
        <f t="shared" ref="E139:H139" si="65">E140</f>
        <v>0</v>
      </c>
      <c r="F139" s="288">
        <f t="shared" si="62"/>
        <v>50820</v>
      </c>
      <c r="G139" s="288">
        <f t="shared" si="65"/>
        <v>0</v>
      </c>
      <c r="H139" s="288">
        <f t="shared" si="65"/>
        <v>0</v>
      </c>
      <c r="I139" s="288">
        <f t="shared" si="60"/>
        <v>0</v>
      </c>
      <c r="J139" s="288">
        <f t="shared" si="63"/>
        <v>50820</v>
      </c>
    </row>
    <row r="140" spans="1:10" x14ac:dyDescent="0.25">
      <c r="A140" s="15"/>
      <c r="B140" s="9">
        <v>4</v>
      </c>
      <c r="C140" s="52" t="s">
        <v>15</v>
      </c>
      <c r="D140" s="16">
        <v>50820</v>
      </c>
      <c r="E140" s="16">
        <v>0</v>
      </c>
      <c r="F140" s="16">
        <f t="shared" si="62"/>
        <v>50820</v>
      </c>
      <c r="G140" s="16">
        <v>0</v>
      </c>
      <c r="H140" s="16">
        <v>0</v>
      </c>
      <c r="I140" s="16">
        <f t="shared" si="60"/>
        <v>0</v>
      </c>
      <c r="J140" s="16">
        <f t="shared" si="63"/>
        <v>50820</v>
      </c>
    </row>
    <row r="141" spans="1:10" ht="26.25" x14ac:dyDescent="0.25">
      <c r="A141" s="1" t="s">
        <v>174</v>
      </c>
      <c r="B141" s="17"/>
      <c r="C141" s="50" t="s">
        <v>136</v>
      </c>
      <c r="D141" s="288">
        <f>SUM(D142:D144)</f>
        <v>809971</v>
      </c>
      <c r="E141" s="288">
        <f t="shared" ref="E141:H141" si="66">SUM(E142:E144)</f>
        <v>127950</v>
      </c>
      <c r="F141" s="288">
        <f t="shared" si="62"/>
        <v>937921</v>
      </c>
      <c r="G141" s="288">
        <f t="shared" si="66"/>
        <v>59005</v>
      </c>
      <c r="H141" s="288">
        <f t="shared" si="66"/>
        <v>0</v>
      </c>
      <c r="I141" s="288">
        <f t="shared" si="60"/>
        <v>59005</v>
      </c>
      <c r="J141" s="288">
        <f t="shared" si="63"/>
        <v>996926</v>
      </c>
    </row>
    <row r="142" spans="1:10" x14ac:dyDescent="0.25">
      <c r="A142" s="15"/>
      <c r="B142" s="9" t="s">
        <v>4</v>
      </c>
      <c r="C142" s="52" t="s">
        <v>5</v>
      </c>
      <c r="D142" s="16">
        <v>248804</v>
      </c>
      <c r="E142" s="16">
        <v>0</v>
      </c>
      <c r="F142" s="16">
        <f t="shared" si="62"/>
        <v>248804</v>
      </c>
      <c r="G142" s="16"/>
      <c r="H142" s="16">
        <v>0</v>
      </c>
      <c r="I142" s="16">
        <f t="shared" si="60"/>
        <v>0</v>
      </c>
      <c r="J142" s="16">
        <f t="shared" si="63"/>
        <v>248804</v>
      </c>
    </row>
    <row r="143" spans="1:10" x14ac:dyDescent="0.25">
      <c r="A143" s="15"/>
      <c r="B143" s="9" t="s">
        <v>6</v>
      </c>
      <c r="C143" s="52" t="s">
        <v>7</v>
      </c>
      <c r="D143" s="16">
        <v>300425</v>
      </c>
      <c r="E143" s="16">
        <v>0</v>
      </c>
      <c r="F143" s="16">
        <f t="shared" si="62"/>
        <v>300425</v>
      </c>
      <c r="G143" s="16">
        <v>59005</v>
      </c>
      <c r="H143" s="16">
        <v>0</v>
      </c>
      <c r="I143" s="16">
        <f t="shared" si="60"/>
        <v>59005</v>
      </c>
      <c r="J143" s="16">
        <f t="shared" si="63"/>
        <v>359430</v>
      </c>
    </row>
    <row r="144" spans="1:10" x14ac:dyDescent="0.25">
      <c r="A144" s="15"/>
      <c r="B144" s="9">
        <v>4</v>
      </c>
      <c r="C144" s="52" t="s">
        <v>15</v>
      </c>
      <c r="D144" s="16">
        <v>260742</v>
      </c>
      <c r="E144" s="16">
        <v>127950</v>
      </c>
      <c r="F144" s="16">
        <f t="shared" si="62"/>
        <v>388692</v>
      </c>
      <c r="G144" s="16">
        <v>0</v>
      </c>
      <c r="H144" s="16">
        <v>0</v>
      </c>
      <c r="I144" s="16">
        <f t="shared" si="60"/>
        <v>0</v>
      </c>
      <c r="J144" s="16">
        <f t="shared" si="63"/>
        <v>388692</v>
      </c>
    </row>
    <row r="145" spans="1:10" ht="26.25" x14ac:dyDescent="0.25">
      <c r="A145" s="1" t="s">
        <v>174</v>
      </c>
      <c r="B145" s="17"/>
      <c r="C145" s="50" t="s">
        <v>127</v>
      </c>
      <c r="D145" s="288">
        <f>SUM(D146:D148)</f>
        <v>2236772</v>
      </c>
      <c r="E145" s="288">
        <f t="shared" ref="E145:H145" si="67">SUM(E146:E148)</f>
        <v>214415</v>
      </c>
      <c r="F145" s="288">
        <f t="shared" si="62"/>
        <v>2451187</v>
      </c>
      <c r="G145" s="288">
        <f t="shared" si="67"/>
        <v>149890</v>
      </c>
      <c r="H145" s="288">
        <f t="shared" si="67"/>
        <v>0</v>
      </c>
      <c r="I145" s="288">
        <f t="shared" si="60"/>
        <v>149890</v>
      </c>
      <c r="J145" s="288">
        <f t="shared" si="63"/>
        <v>2601077</v>
      </c>
    </row>
    <row r="146" spans="1:10" x14ac:dyDescent="0.25">
      <c r="A146" s="15"/>
      <c r="B146" s="9" t="s">
        <v>4</v>
      </c>
      <c r="C146" s="52" t="s">
        <v>5</v>
      </c>
      <c r="D146" s="16">
        <v>1584125</v>
      </c>
      <c r="E146" s="16">
        <v>71559</v>
      </c>
      <c r="F146" s="16">
        <f t="shared" si="62"/>
        <v>1655684</v>
      </c>
      <c r="G146" s="16">
        <v>137342</v>
      </c>
      <c r="H146" s="16">
        <v>0</v>
      </c>
      <c r="I146" s="16">
        <f t="shared" si="60"/>
        <v>137342</v>
      </c>
      <c r="J146" s="16">
        <f t="shared" si="63"/>
        <v>1793026</v>
      </c>
    </row>
    <row r="147" spans="1:10" x14ac:dyDescent="0.25">
      <c r="A147" s="15"/>
      <c r="B147" s="9" t="s">
        <v>6</v>
      </c>
      <c r="C147" s="52" t="s">
        <v>7</v>
      </c>
      <c r="D147" s="16">
        <v>193491</v>
      </c>
      <c r="E147" s="16">
        <v>4641</v>
      </c>
      <c r="F147" s="16">
        <f t="shared" si="62"/>
        <v>198132</v>
      </c>
      <c r="G147" s="16">
        <v>12548</v>
      </c>
      <c r="H147" s="16">
        <v>0</v>
      </c>
      <c r="I147" s="16">
        <f t="shared" si="60"/>
        <v>12548</v>
      </c>
      <c r="J147" s="16">
        <f t="shared" si="63"/>
        <v>210680</v>
      </c>
    </row>
    <row r="148" spans="1:10" x14ac:dyDescent="0.25">
      <c r="A148" s="15"/>
      <c r="B148" s="9">
        <v>4</v>
      </c>
      <c r="C148" s="52" t="s">
        <v>15</v>
      </c>
      <c r="D148" s="16">
        <v>459156</v>
      </c>
      <c r="E148" s="16">
        <v>138215</v>
      </c>
      <c r="F148" s="16">
        <f t="shared" si="62"/>
        <v>597371</v>
      </c>
      <c r="G148" s="16">
        <v>0</v>
      </c>
      <c r="H148" s="16">
        <v>0</v>
      </c>
      <c r="I148" s="16">
        <f t="shared" si="60"/>
        <v>0</v>
      </c>
      <c r="J148" s="16">
        <f t="shared" si="63"/>
        <v>597371</v>
      </c>
    </row>
    <row r="149" spans="1:10" x14ac:dyDescent="0.25">
      <c r="A149" s="8" t="s">
        <v>52</v>
      </c>
      <c r="B149" s="5"/>
      <c r="C149" s="53"/>
      <c r="D149" s="7">
        <f>D150+D162+D167+D173+D176+D179</f>
        <v>5149538</v>
      </c>
      <c r="E149" s="7">
        <f>E150+E162+E167+E173+E176+E179</f>
        <v>0</v>
      </c>
      <c r="F149" s="7">
        <f t="shared" si="62"/>
        <v>5149538</v>
      </c>
      <c r="G149" s="7">
        <f>G150+G162+G167+G173+G176+G179</f>
        <v>0</v>
      </c>
      <c r="H149" s="7">
        <f>H150+H162+H167+H173+H176+H179</f>
        <v>76000</v>
      </c>
      <c r="I149" s="7">
        <f t="shared" si="60"/>
        <v>76000</v>
      </c>
      <c r="J149" s="7">
        <f t="shared" si="63"/>
        <v>5225538</v>
      </c>
    </row>
    <row r="150" spans="1:10" s="10" customFormat="1" x14ac:dyDescent="0.25">
      <c r="A150" s="27" t="s">
        <v>1</v>
      </c>
      <c r="B150" s="26"/>
      <c r="C150" s="49" t="s">
        <v>2</v>
      </c>
      <c r="D150" s="7">
        <f>D151+D158+D155</f>
        <v>3447135</v>
      </c>
      <c r="E150" s="7">
        <f>E151+E158+E155</f>
        <v>0</v>
      </c>
      <c r="F150" s="7">
        <f t="shared" si="62"/>
        <v>3447135</v>
      </c>
      <c r="G150" s="7">
        <f>G151+G158+G155</f>
        <v>0</v>
      </c>
      <c r="H150" s="7">
        <f>H151+H158+H155</f>
        <v>0</v>
      </c>
      <c r="I150" s="7">
        <f t="shared" si="60"/>
        <v>0</v>
      </c>
      <c r="J150" s="7">
        <f t="shared" si="63"/>
        <v>3447135</v>
      </c>
    </row>
    <row r="151" spans="1:10" x14ac:dyDescent="0.25">
      <c r="A151" s="18" t="s">
        <v>3</v>
      </c>
      <c r="B151" s="17"/>
      <c r="C151" s="50" t="s">
        <v>112</v>
      </c>
      <c r="D151" s="288">
        <f>SUM(D152:D154)</f>
        <v>2980793</v>
      </c>
      <c r="E151" s="288">
        <f t="shared" ref="E151:H151" si="68">SUM(E152:E154)</f>
        <v>0</v>
      </c>
      <c r="F151" s="288">
        <f t="shared" si="62"/>
        <v>2980793</v>
      </c>
      <c r="G151" s="288">
        <f t="shared" si="68"/>
        <v>0</v>
      </c>
      <c r="H151" s="288">
        <f t="shared" si="68"/>
        <v>0</v>
      </c>
      <c r="I151" s="288">
        <f t="shared" si="60"/>
        <v>0</v>
      </c>
      <c r="J151" s="288">
        <f t="shared" si="63"/>
        <v>2980793</v>
      </c>
    </row>
    <row r="152" spans="1:10" x14ac:dyDescent="0.25">
      <c r="A152" s="15"/>
      <c r="B152" s="9" t="s">
        <v>4</v>
      </c>
      <c r="C152" s="52" t="s">
        <v>5</v>
      </c>
      <c r="D152" s="16">
        <v>2089897</v>
      </c>
      <c r="E152" s="16">
        <v>0</v>
      </c>
      <c r="F152" s="16">
        <f t="shared" si="62"/>
        <v>2089897</v>
      </c>
      <c r="G152" s="16">
        <v>0</v>
      </c>
      <c r="H152" s="16">
        <v>0</v>
      </c>
      <c r="I152" s="16">
        <f t="shared" si="60"/>
        <v>0</v>
      </c>
      <c r="J152" s="16">
        <f t="shared" si="63"/>
        <v>2089897</v>
      </c>
    </row>
    <row r="153" spans="1:10" x14ac:dyDescent="0.25">
      <c r="A153" s="15"/>
      <c r="B153" s="9" t="s">
        <v>6</v>
      </c>
      <c r="C153" s="52" t="s">
        <v>7</v>
      </c>
      <c r="D153" s="16">
        <v>884896</v>
      </c>
      <c r="E153" s="16">
        <v>0</v>
      </c>
      <c r="F153" s="16">
        <f t="shared" si="62"/>
        <v>884896</v>
      </c>
      <c r="G153" s="16">
        <v>0</v>
      </c>
      <c r="H153" s="16">
        <v>0</v>
      </c>
      <c r="I153" s="16">
        <f t="shared" si="60"/>
        <v>0</v>
      </c>
      <c r="J153" s="16">
        <f t="shared" si="63"/>
        <v>884896</v>
      </c>
    </row>
    <row r="154" spans="1:10" x14ac:dyDescent="0.25">
      <c r="A154" s="15"/>
      <c r="B154" s="9" t="s">
        <v>8</v>
      </c>
      <c r="C154" s="52" t="s">
        <v>9</v>
      </c>
      <c r="D154" s="16">
        <v>6000</v>
      </c>
      <c r="E154" s="16">
        <v>0</v>
      </c>
      <c r="F154" s="16">
        <f t="shared" si="62"/>
        <v>6000</v>
      </c>
      <c r="G154" s="16">
        <v>0</v>
      </c>
      <c r="H154" s="16">
        <v>0</v>
      </c>
      <c r="I154" s="16">
        <f t="shared" si="60"/>
        <v>0</v>
      </c>
      <c r="J154" s="16">
        <f t="shared" si="63"/>
        <v>6000</v>
      </c>
    </row>
    <row r="155" spans="1:10" s="2" customFormat="1" x14ac:dyDescent="0.25">
      <c r="A155" s="1" t="s">
        <v>73</v>
      </c>
      <c r="B155" s="17"/>
      <c r="C155" s="50" t="s">
        <v>151</v>
      </c>
      <c r="D155" s="288">
        <f>SUM(D156:D157)</f>
        <v>127010</v>
      </c>
      <c r="E155" s="288">
        <f>SUM(E156:E157)</f>
        <v>0</v>
      </c>
      <c r="F155" s="288">
        <f t="shared" ref="F155:F157" si="69">D155+E155</f>
        <v>127010</v>
      </c>
      <c r="G155" s="288">
        <f>SUM(G156:G157)</f>
        <v>0</v>
      </c>
      <c r="H155" s="288">
        <f>SUM(H156:H157)</f>
        <v>0</v>
      </c>
      <c r="I155" s="288">
        <f t="shared" ref="I155:I157" si="70">SUM(G155:H155)</f>
        <v>0</v>
      </c>
      <c r="J155" s="288">
        <f t="shared" ref="J155:J157" si="71">I155+F155</f>
        <v>127010</v>
      </c>
    </row>
    <row r="156" spans="1:10" s="2" customFormat="1" x14ac:dyDescent="0.25">
      <c r="A156" s="15"/>
      <c r="B156" s="9" t="s">
        <v>4</v>
      </c>
      <c r="C156" s="52" t="s">
        <v>5</v>
      </c>
      <c r="D156" s="16">
        <v>121370</v>
      </c>
      <c r="E156" s="16">
        <v>0</v>
      </c>
      <c r="F156" s="16">
        <f t="shared" si="69"/>
        <v>121370</v>
      </c>
      <c r="G156" s="16">
        <v>0</v>
      </c>
      <c r="H156" s="16">
        <v>0</v>
      </c>
      <c r="I156" s="16">
        <f t="shared" si="70"/>
        <v>0</v>
      </c>
      <c r="J156" s="16">
        <f t="shared" si="71"/>
        <v>121370</v>
      </c>
    </row>
    <row r="157" spans="1:10" s="2" customFormat="1" x14ac:dyDescent="0.25">
      <c r="A157" s="15"/>
      <c r="B157" s="9" t="s">
        <v>6</v>
      </c>
      <c r="C157" s="52" t="s">
        <v>7</v>
      </c>
      <c r="D157" s="16">
        <v>5640</v>
      </c>
      <c r="E157" s="16">
        <v>0</v>
      </c>
      <c r="F157" s="16">
        <f t="shared" si="69"/>
        <v>5640</v>
      </c>
      <c r="G157" s="16">
        <v>0</v>
      </c>
      <c r="H157" s="16">
        <v>0</v>
      </c>
      <c r="I157" s="16">
        <f t="shared" si="70"/>
        <v>0</v>
      </c>
      <c r="J157" s="16">
        <f t="shared" si="71"/>
        <v>5640</v>
      </c>
    </row>
    <row r="158" spans="1:10" x14ac:dyDescent="0.25">
      <c r="A158" s="18" t="s">
        <v>21</v>
      </c>
      <c r="B158" s="17"/>
      <c r="C158" s="50" t="s">
        <v>116</v>
      </c>
      <c r="D158" s="288">
        <f>SUM(D159:D161)</f>
        <v>339332</v>
      </c>
      <c r="E158" s="288">
        <f t="shared" ref="E158:H158" si="72">SUM(E159:E161)</f>
        <v>0</v>
      </c>
      <c r="F158" s="288">
        <f t="shared" si="62"/>
        <v>339332</v>
      </c>
      <c r="G158" s="288">
        <f t="shared" si="72"/>
        <v>0</v>
      </c>
      <c r="H158" s="288">
        <f t="shared" si="72"/>
        <v>0</v>
      </c>
      <c r="I158" s="288">
        <f t="shared" si="60"/>
        <v>0</v>
      </c>
      <c r="J158" s="288">
        <f t="shared" si="63"/>
        <v>339332</v>
      </c>
    </row>
    <row r="159" spans="1:10" x14ac:dyDescent="0.25">
      <c r="A159" s="15"/>
      <c r="B159" s="9" t="s">
        <v>4</v>
      </c>
      <c r="C159" s="52" t="s">
        <v>5</v>
      </c>
      <c r="D159" s="16">
        <v>88000</v>
      </c>
      <c r="E159" s="16">
        <v>0</v>
      </c>
      <c r="F159" s="16">
        <f t="shared" si="62"/>
        <v>88000</v>
      </c>
      <c r="G159" s="16">
        <v>0</v>
      </c>
      <c r="H159" s="16">
        <v>0</v>
      </c>
      <c r="I159" s="16">
        <f t="shared" si="60"/>
        <v>0</v>
      </c>
      <c r="J159" s="16">
        <f t="shared" si="63"/>
        <v>88000</v>
      </c>
    </row>
    <row r="160" spans="1:10" x14ac:dyDescent="0.25">
      <c r="A160" s="15"/>
      <c r="B160" s="9" t="s">
        <v>6</v>
      </c>
      <c r="C160" s="52" t="s">
        <v>7</v>
      </c>
      <c r="D160" s="16">
        <v>173779</v>
      </c>
      <c r="E160" s="16">
        <v>0</v>
      </c>
      <c r="F160" s="16">
        <f t="shared" si="62"/>
        <v>173779</v>
      </c>
      <c r="G160" s="16">
        <v>0</v>
      </c>
      <c r="H160" s="16">
        <v>0</v>
      </c>
      <c r="I160" s="16">
        <f t="shared" si="60"/>
        <v>0</v>
      </c>
      <c r="J160" s="16">
        <f t="shared" si="63"/>
        <v>173779</v>
      </c>
    </row>
    <row r="161" spans="1:10" x14ac:dyDescent="0.25">
      <c r="A161" s="15"/>
      <c r="B161" s="9">
        <v>4</v>
      </c>
      <c r="C161" s="52" t="s">
        <v>15</v>
      </c>
      <c r="D161" s="16">
        <v>77553</v>
      </c>
      <c r="E161" s="16">
        <v>0</v>
      </c>
      <c r="F161" s="16">
        <f t="shared" si="62"/>
        <v>77553</v>
      </c>
      <c r="G161" s="16">
        <v>0</v>
      </c>
      <c r="H161" s="16">
        <v>0</v>
      </c>
      <c r="I161" s="16">
        <f t="shared" si="60"/>
        <v>0</v>
      </c>
      <c r="J161" s="16">
        <f t="shared" si="63"/>
        <v>77553</v>
      </c>
    </row>
    <row r="162" spans="1:10" s="10" customFormat="1" x14ac:dyDescent="0.25">
      <c r="A162" s="27" t="s">
        <v>53</v>
      </c>
      <c r="B162" s="26"/>
      <c r="C162" s="49" t="s">
        <v>54</v>
      </c>
      <c r="D162" s="7">
        <f>D163</f>
        <v>511139</v>
      </c>
      <c r="E162" s="7">
        <f t="shared" ref="E162:H162" si="73">E163</f>
        <v>0</v>
      </c>
      <c r="F162" s="7">
        <f t="shared" si="62"/>
        <v>511139</v>
      </c>
      <c r="G162" s="7">
        <f t="shared" si="73"/>
        <v>0</v>
      </c>
      <c r="H162" s="7">
        <f t="shared" si="73"/>
        <v>0</v>
      </c>
      <c r="I162" s="7">
        <f t="shared" si="60"/>
        <v>0</v>
      </c>
      <c r="J162" s="7">
        <f t="shared" si="63"/>
        <v>511139</v>
      </c>
    </row>
    <row r="163" spans="1:10" x14ac:dyDescent="0.25">
      <c r="A163" s="18" t="s">
        <v>55</v>
      </c>
      <c r="B163" s="17"/>
      <c r="C163" s="50" t="s">
        <v>137</v>
      </c>
      <c r="D163" s="288">
        <f>SUM(D164:D166)</f>
        <v>511139</v>
      </c>
      <c r="E163" s="288">
        <f t="shared" ref="E163:H163" si="74">SUM(E164:E166)</f>
        <v>0</v>
      </c>
      <c r="F163" s="288">
        <f t="shared" si="62"/>
        <v>511139</v>
      </c>
      <c r="G163" s="288">
        <f t="shared" si="74"/>
        <v>0</v>
      </c>
      <c r="H163" s="288">
        <f t="shared" si="74"/>
        <v>0</v>
      </c>
      <c r="I163" s="288">
        <f t="shared" si="60"/>
        <v>0</v>
      </c>
      <c r="J163" s="288">
        <f t="shared" si="63"/>
        <v>511139</v>
      </c>
    </row>
    <row r="164" spans="1:10" x14ac:dyDescent="0.25">
      <c r="A164" s="15"/>
      <c r="B164" s="9" t="s">
        <v>4</v>
      </c>
      <c r="C164" s="52" t="s">
        <v>5</v>
      </c>
      <c r="D164" s="16">
        <v>423343</v>
      </c>
      <c r="E164" s="16">
        <v>0</v>
      </c>
      <c r="F164" s="16">
        <f t="shared" si="62"/>
        <v>423343</v>
      </c>
      <c r="G164" s="16">
        <v>0</v>
      </c>
      <c r="H164" s="16">
        <v>0</v>
      </c>
      <c r="I164" s="16">
        <f t="shared" si="60"/>
        <v>0</v>
      </c>
      <c r="J164" s="16">
        <f t="shared" si="63"/>
        <v>423343</v>
      </c>
    </row>
    <row r="165" spans="1:10" x14ac:dyDescent="0.25">
      <c r="A165" s="15"/>
      <c r="B165" s="9" t="s">
        <v>6</v>
      </c>
      <c r="C165" s="52" t="s">
        <v>7</v>
      </c>
      <c r="D165" s="16">
        <v>83796</v>
      </c>
      <c r="E165" s="16">
        <v>0</v>
      </c>
      <c r="F165" s="16">
        <f t="shared" si="62"/>
        <v>83796</v>
      </c>
      <c r="G165" s="16">
        <v>0</v>
      </c>
      <c r="H165" s="16">
        <v>0</v>
      </c>
      <c r="I165" s="16">
        <f t="shared" si="60"/>
        <v>0</v>
      </c>
      <c r="J165" s="16">
        <f t="shared" si="63"/>
        <v>83796</v>
      </c>
    </row>
    <row r="166" spans="1:10" x14ac:dyDescent="0.25">
      <c r="A166" s="15"/>
      <c r="B166" s="9" t="s">
        <v>8</v>
      </c>
      <c r="C166" s="52" t="s">
        <v>9</v>
      </c>
      <c r="D166" s="16">
        <v>4000</v>
      </c>
      <c r="E166" s="16">
        <v>0</v>
      </c>
      <c r="F166" s="16">
        <f t="shared" si="62"/>
        <v>4000</v>
      </c>
      <c r="G166" s="16">
        <v>0</v>
      </c>
      <c r="H166" s="16">
        <v>0</v>
      </c>
      <c r="I166" s="16">
        <f t="shared" si="60"/>
        <v>0</v>
      </c>
      <c r="J166" s="16">
        <f t="shared" si="63"/>
        <v>4000</v>
      </c>
    </row>
    <row r="167" spans="1:10" s="10" customFormat="1" x14ac:dyDescent="0.25">
      <c r="A167" s="27" t="s">
        <v>10</v>
      </c>
      <c r="B167" s="26"/>
      <c r="C167" s="49" t="s">
        <v>11</v>
      </c>
      <c r="D167" s="7">
        <f>D168+D170</f>
        <v>300000</v>
      </c>
      <c r="E167" s="7">
        <f t="shared" ref="E167:H167" si="75">E168+E170</f>
        <v>0</v>
      </c>
      <c r="F167" s="7">
        <f t="shared" si="62"/>
        <v>300000</v>
      </c>
      <c r="G167" s="7">
        <f t="shared" si="75"/>
        <v>0</v>
      </c>
      <c r="H167" s="7">
        <f t="shared" si="75"/>
        <v>76000</v>
      </c>
      <c r="I167" s="7">
        <f t="shared" si="60"/>
        <v>76000</v>
      </c>
      <c r="J167" s="7">
        <f t="shared" si="63"/>
        <v>376000</v>
      </c>
    </row>
    <row r="168" spans="1:10" x14ac:dyDescent="0.25">
      <c r="A168" s="1" t="s">
        <v>23</v>
      </c>
      <c r="B168" s="17"/>
      <c r="C168" s="50" t="s">
        <v>449</v>
      </c>
      <c r="D168" s="288">
        <f>D169</f>
        <v>300000</v>
      </c>
      <c r="E168" s="288">
        <f t="shared" ref="E168:H168" si="76">E169</f>
        <v>0</v>
      </c>
      <c r="F168" s="288">
        <f t="shared" si="62"/>
        <v>300000</v>
      </c>
      <c r="G168" s="288">
        <f t="shared" si="76"/>
        <v>0</v>
      </c>
      <c r="H168" s="288">
        <f t="shared" si="76"/>
        <v>0</v>
      </c>
      <c r="I168" s="288">
        <f t="shared" si="60"/>
        <v>0</v>
      </c>
      <c r="J168" s="288">
        <f t="shared" si="63"/>
        <v>300000</v>
      </c>
    </row>
    <row r="169" spans="1:10" x14ac:dyDescent="0.25">
      <c r="A169" s="15"/>
      <c r="B169" s="9">
        <v>4</v>
      </c>
      <c r="C169" s="52" t="s">
        <v>15</v>
      </c>
      <c r="D169" s="16">
        <v>300000</v>
      </c>
      <c r="E169" s="16">
        <v>0</v>
      </c>
      <c r="F169" s="16">
        <f t="shared" si="62"/>
        <v>300000</v>
      </c>
      <c r="G169" s="16">
        <v>0</v>
      </c>
      <c r="H169" s="16"/>
      <c r="I169" s="16">
        <f t="shared" si="60"/>
        <v>0</v>
      </c>
      <c r="J169" s="16">
        <f t="shared" si="63"/>
        <v>300000</v>
      </c>
    </row>
    <row r="170" spans="1:10" x14ac:dyDescent="0.25">
      <c r="A170" s="18" t="s">
        <v>16</v>
      </c>
      <c r="B170" s="17"/>
      <c r="C170" s="50" t="s">
        <v>114</v>
      </c>
      <c r="D170" s="288">
        <f>SUM(D171:D172)</f>
        <v>0</v>
      </c>
      <c r="E170" s="288">
        <f t="shared" ref="E170:H170" si="77">SUM(E171:E172)</f>
        <v>0</v>
      </c>
      <c r="F170" s="288">
        <f t="shared" si="62"/>
        <v>0</v>
      </c>
      <c r="G170" s="288">
        <f t="shared" si="77"/>
        <v>0</v>
      </c>
      <c r="H170" s="288">
        <f t="shared" si="77"/>
        <v>76000</v>
      </c>
      <c r="I170" s="288">
        <f t="shared" si="60"/>
        <v>76000</v>
      </c>
      <c r="J170" s="288">
        <f t="shared" si="63"/>
        <v>76000</v>
      </c>
    </row>
    <row r="171" spans="1:10" x14ac:dyDescent="0.25">
      <c r="A171" s="15"/>
      <c r="B171" s="9" t="s">
        <v>4</v>
      </c>
      <c r="C171" s="52" t="s">
        <v>5</v>
      </c>
      <c r="D171" s="16">
        <v>0</v>
      </c>
      <c r="E171" s="16">
        <v>0</v>
      </c>
      <c r="F171" s="16">
        <f t="shared" si="62"/>
        <v>0</v>
      </c>
      <c r="G171" s="16">
        <v>0</v>
      </c>
      <c r="H171" s="16">
        <v>50000</v>
      </c>
      <c r="I171" s="16">
        <f t="shared" si="60"/>
        <v>50000</v>
      </c>
      <c r="J171" s="16">
        <f t="shared" si="63"/>
        <v>50000</v>
      </c>
    </row>
    <row r="172" spans="1:10" x14ac:dyDescent="0.25">
      <c r="A172" s="15"/>
      <c r="B172" s="9" t="s">
        <v>6</v>
      </c>
      <c r="C172" s="52" t="s">
        <v>7</v>
      </c>
      <c r="D172" s="16">
        <v>0</v>
      </c>
      <c r="E172" s="16">
        <v>0</v>
      </c>
      <c r="F172" s="16">
        <f t="shared" si="62"/>
        <v>0</v>
      </c>
      <c r="G172" s="16">
        <v>0</v>
      </c>
      <c r="H172" s="16">
        <v>26000</v>
      </c>
      <c r="I172" s="16">
        <f t="shared" si="60"/>
        <v>26000</v>
      </c>
      <c r="J172" s="16">
        <f t="shared" si="63"/>
        <v>26000</v>
      </c>
    </row>
    <row r="173" spans="1:10" s="10" customFormat="1" x14ac:dyDescent="0.25">
      <c r="A173" s="27" t="s">
        <v>17</v>
      </c>
      <c r="B173" s="26"/>
      <c r="C173" s="49" t="s">
        <v>18</v>
      </c>
      <c r="D173" s="7">
        <f>D174</f>
        <v>61666</v>
      </c>
      <c r="E173" s="7">
        <f t="shared" ref="E173:H174" si="78">E174</f>
        <v>0</v>
      </c>
      <c r="F173" s="7">
        <f t="shared" si="62"/>
        <v>61666</v>
      </c>
      <c r="G173" s="7">
        <f t="shared" si="78"/>
        <v>0</v>
      </c>
      <c r="H173" s="7">
        <f t="shared" si="78"/>
        <v>0</v>
      </c>
      <c r="I173" s="7">
        <f t="shared" si="60"/>
        <v>0</v>
      </c>
      <c r="J173" s="7">
        <f t="shared" si="63"/>
        <v>61666</v>
      </c>
    </row>
    <row r="174" spans="1:10" x14ac:dyDescent="0.25">
      <c r="A174" s="18" t="s">
        <v>50</v>
      </c>
      <c r="B174" s="17"/>
      <c r="C174" s="50" t="s">
        <v>134</v>
      </c>
      <c r="D174" s="288">
        <f>D175</f>
        <v>61666</v>
      </c>
      <c r="E174" s="288">
        <f t="shared" si="78"/>
        <v>0</v>
      </c>
      <c r="F174" s="288">
        <f t="shared" si="62"/>
        <v>61666</v>
      </c>
      <c r="G174" s="288">
        <f t="shared" si="78"/>
        <v>0</v>
      </c>
      <c r="H174" s="288">
        <f t="shared" si="78"/>
        <v>0</v>
      </c>
      <c r="I174" s="288">
        <f t="shared" si="60"/>
        <v>0</v>
      </c>
      <c r="J174" s="288">
        <f t="shared" si="63"/>
        <v>61666</v>
      </c>
    </row>
    <row r="175" spans="1:10" x14ac:dyDescent="0.25">
      <c r="A175" s="15"/>
      <c r="B175" s="9" t="s">
        <v>6</v>
      </c>
      <c r="C175" s="52" t="s">
        <v>7</v>
      </c>
      <c r="D175" s="16">
        <v>61666</v>
      </c>
      <c r="E175" s="16">
        <v>0</v>
      </c>
      <c r="F175" s="7">
        <f t="shared" si="62"/>
        <v>61666</v>
      </c>
      <c r="G175" s="16">
        <v>0</v>
      </c>
      <c r="H175" s="16">
        <v>0</v>
      </c>
      <c r="I175" s="16">
        <f t="shared" si="60"/>
        <v>0</v>
      </c>
      <c r="J175" s="7">
        <f t="shared" si="63"/>
        <v>61666</v>
      </c>
    </row>
    <row r="176" spans="1:10" s="10" customFormat="1" x14ac:dyDescent="0.25">
      <c r="A176" s="27" t="s">
        <v>26</v>
      </c>
      <c r="B176" s="14"/>
      <c r="C176" s="49" t="s">
        <v>27</v>
      </c>
      <c r="D176" s="7">
        <f>D177</f>
        <v>814929</v>
      </c>
      <c r="E176" s="7">
        <f t="shared" ref="E176:H177" si="79">E177</f>
        <v>0</v>
      </c>
      <c r="F176" s="7">
        <f t="shared" si="62"/>
        <v>814929</v>
      </c>
      <c r="G176" s="7">
        <f t="shared" si="79"/>
        <v>0</v>
      </c>
      <c r="H176" s="7">
        <f t="shared" si="79"/>
        <v>0</v>
      </c>
      <c r="I176" s="7">
        <f t="shared" si="60"/>
        <v>0</v>
      </c>
      <c r="J176" s="7">
        <f t="shared" si="63"/>
        <v>814929</v>
      </c>
    </row>
    <row r="177" spans="1:10" x14ac:dyDescent="0.25">
      <c r="A177" s="18" t="s">
        <v>39</v>
      </c>
      <c r="B177" s="17"/>
      <c r="C177" s="50" t="s">
        <v>123</v>
      </c>
      <c r="D177" s="288">
        <f>D178</f>
        <v>814929</v>
      </c>
      <c r="E177" s="288">
        <f t="shared" si="79"/>
        <v>0</v>
      </c>
      <c r="F177" s="288">
        <f t="shared" si="62"/>
        <v>814929</v>
      </c>
      <c r="G177" s="288">
        <f t="shared" si="79"/>
        <v>0</v>
      </c>
      <c r="H177" s="288">
        <f t="shared" si="79"/>
        <v>0</v>
      </c>
      <c r="I177" s="288">
        <f t="shared" si="60"/>
        <v>0</v>
      </c>
      <c r="J177" s="288">
        <f t="shared" si="63"/>
        <v>814929</v>
      </c>
    </row>
    <row r="178" spans="1:10" x14ac:dyDescent="0.25">
      <c r="A178" s="15"/>
      <c r="B178" s="9" t="s">
        <v>6</v>
      </c>
      <c r="C178" s="52" t="s">
        <v>7</v>
      </c>
      <c r="D178" s="16">
        <v>814929</v>
      </c>
      <c r="E178" s="16"/>
      <c r="F178" s="16">
        <f t="shared" si="62"/>
        <v>814929</v>
      </c>
      <c r="G178" s="16">
        <v>0</v>
      </c>
      <c r="H178" s="16">
        <v>0</v>
      </c>
      <c r="I178" s="16">
        <f t="shared" si="60"/>
        <v>0</v>
      </c>
      <c r="J178" s="16">
        <f t="shared" si="63"/>
        <v>814929</v>
      </c>
    </row>
    <row r="179" spans="1:10" s="10" customFormat="1" x14ac:dyDescent="0.25">
      <c r="A179" s="27" t="s">
        <v>56</v>
      </c>
      <c r="B179" s="14"/>
      <c r="C179" s="49" t="s">
        <v>57</v>
      </c>
      <c r="D179" s="7">
        <f>D180</f>
        <v>14669</v>
      </c>
      <c r="E179" s="7">
        <f t="shared" ref="E179:H180" si="80">E180</f>
        <v>0</v>
      </c>
      <c r="F179" s="7">
        <f t="shared" si="62"/>
        <v>14669</v>
      </c>
      <c r="G179" s="7">
        <f t="shared" si="80"/>
        <v>0</v>
      </c>
      <c r="H179" s="7">
        <f t="shared" si="80"/>
        <v>0</v>
      </c>
      <c r="I179" s="7">
        <f t="shared" si="60"/>
        <v>0</v>
      </c>
      <c r="J179" s="7">
        <f t="shared" si="63"/>
        <v>14669</v>
      </c>
    </row>
    <row r="180" spans="1:10" x14ac:dyDescent="0.25">
      <c r="A180" s="18" t="s">
        <v>58</v>
      </c>
      <c r="B180" s="17"/>
      <c r="C180" s="50" t="s">
        <v>138</v>
      </c>
      <c r="D180" s="288">
        <f>D181</f>
        <v>14669</v>
      </c>
      <c r="E180" s="288">
        <f t="shared" si="80"/>
        <v>0</v>
      </c>
      <c r="F180" s="288">
        <f t="shared" si="62"/>
        <v>14669</v>
      </c>
      <c r="G180" s="288">
        <f t="shared" si="80"/>
        <v>0</v>
      </c>
      <c r="H180" s="288">
        <f t="shared" si="80"/>
        <v>0</v>
      </c>
      <c r="I180" s="288">
        <f t="shared" si="60"/>
        <v>0</v>
      </c>
      <c r="J180" s="288">
        <f t="shared" si="63"/>
        <v>14669</v>
      </c>
    </row>
    <row r="181" spans="1:10" x14ac:dyDescent="0.25">
      <c r="A181" s="15"/>
      <c r="B181" s="9" t="s">
        <v>6</v>
      </c>
      <c r="C181" s="52" t="s">
        <v>7</v>
      </c>
      <c r="D181" s="16">
        <v>14669</v>
      </c>
      <c r="E181" s="16">
        <v>0</v>
      </c>
      <c r="F181" s="16">
        <f t="shared" si="62"/>
        <v>14669</v>
      </c>
      <c r="G181" s="16">
        <v>0</v>
      </c>
      <c r="H181" s="16">
        <v>0</v>
      </c>
      <c r="I181" s="16">
        <f t="shared" si="60"/>
        <v>0</v>
      </c>
      <c r="J181" s="16">
        <f t="shared" si="63"/>
        <v>14669</v>
      </c>
    </row>
    <row r="182" spans="1:10" x14ac:dyDescent="0.25">
      <c r="A182" s="8" t="s">
        <v>59</v>
      </c>
      <c r="B182" s="5"/>
      <c r="C182" s="53"/>
      <c r="D182" s="3">
        <f>D183+D187+D191+D203+D222</f>
        <v>20878793</v>
      </c>
      <c r="E182" s="3">
        <f>E183+E187+E191+E203+E222</f>
        <v>0</v>
      </c>
      <c r="F182" s="7">
        <f t="shared" si="62"/>
        <v>20878793</v>
      </c>
      <c r="G182" s="3">
        <f>G183+G187+G191+G203+G222</f>
        <v>0</v>
      </c>
      <c r="H182" s="3">
        <f>H183+H187+H191+H203+H222</f>
        <v>395174</v>
      </c>
      <c r="I182" s="7">
        <f t="shared" si="60"/>
        <v>395174</v>
      </c>
      <c r="J182" s="7">
        <f t="shared" si="63"/>
        <v>21273967</v>
      </c>
    </row>
    <row r="183" spans="1:10" s="10" customFormat="1" x14ac:dyDescent="0.25">
      <c r="A183" s="27" t="s">
        <v>1</v>
      </c>
      <c r="B183" s="14"/>
      <c r="C183" s="49" t="s">
        <v>2</v>
      </c>
      <c r="D183" s="7">
        <f>D184</f>
        <v>874396</v>
      </c>
      <c r="E183" s="7">
        <f t="shared" ref="E183:H183" si="81">E184</f>
        <v>0</v>
      </c>
      <c r="F183" s="7">
        <f t="shared" si="62"/>
        <v>874396</v>
      </c>
      <c r="G183" s="7">
        <f t="shared" si="81"/>
        <v>0</v>
      </c>
      <c r="H183" s="7">
        <f t="shared" si="81"/>
        <v>0</v>
      </c>
      <c r="I183" s="7">
        <f t="shared" si="60"/>
        <v>0</v>
      </c>
      <c r="J183" s="7">
        <f t="shared" si="63"/>
        <v>874396</v>
      </c>
    </row>
    <row r="184" spans="1:10" x14ac:dyDescent="0.25">
      <c r="A184" s="18" t="s">
        <v>3</v>
      </c>
      <c r="B184" s="17"/>
      <c r="C184" s="50" t="s">
        <v>112</v>
      </c>
      <c r="D184" s="288">
        <f>SUM(D185:D186)</f>
        <v>874396</v>
      </c>
      <c r="E184" s="288">
        <f t="shared" ref="E184:H184" si="82">SUM(E185:E186)</f>
        <v>0</v>
      </c>
      <c r="F184" s="288">
        <f t="shared" si="62"/>
        <v>874396</v>
      </c>
      <c r="G184" s="288">
        <f t="shared" si="82"/>
        <v>0</v>
      </c>
      <c r="H184" s="288">
        <f t="shared" si="82"/>
        <v>0</v>
      </c>
      <c r="I184" s="288">
        <f t="shared" si="60"/>
        <v>0</v>
      </c>
      <c r="J184" s="288">
        <f t="shared" si="63"/>
        <v>874396</v>
      </c>
    </row>
    <row r="185" spans="1:10" x14ac:dyDescent="0.25">
      <c r="A185" s="15"/>
      <c r="B185" s="9" t="s">
        <v>4</v>
      </c>
      <c r="C185" s="52" t="s">
        <v>5</v>
      </c>
      <c r="D185" s="16">
        <v>763736</v>
      </c>
      <c r="E185" s="16">
        <v>0</v>
      </c>
      <c r="F185" s="16">
        <f t="shared" si="62"/>
        <v>763736</v>
      </c>
      <c r="G185" s="16">
        <v>0</v>
      </c>
      <c r="H185" s="16">
        <v>0</v>
      </c>
      <c r="I185" s="16">
        <f t="shared" si="60"/>
        <v>0</v>
      </c>
      <c r="J185" s="16">
        <f t="shared" si="63"/>
        <v>763736</v>
      </c>
    </row>
    <row r="186" spans="1:10" x14ac:dyDescent="0.25">
      <c r="A186" s="15"/>
      <c r="B186" s="9" t="s">
        <v>6</v>
      </c>
      <c r="C186" s="52" t="s">
        <v>7</v>
      </c>
      <c r="D186" s="16">
        <v>110660</v>
      </c>
      <c r="E186" s="16">
        <v>0</v>
      </c>
      <c r="F186" s="16">
        <f t="shared" si="62"/>
        <v>110660</v>
      </c>
      <c r="G186" s="16">
        <v>0</v>
      </c>
      <c r="H186" s="16">
        <v>0</v>
      </c>
      <c r="I186" s="16">
        <f t="shared" si="60"/>
        <v>0</v>
      </c>
      <c r="J186" s="16">
        <f t="shared" si="63"/>
        <v>110660</v>
      </c>
    </row>
    <row r="187" spans="1:10" s="10" customFormat="1" x14ac:dyDescent="0.25">
      <c r="A187" s="27" t="s">
        <v>53</v>
      </c>
      <c r="B187" s="14"/>
      <c r="C187" s="49" t="s">
        <v>54</v>
      </c>
      <c r="D187" s="7">
        <f>D188</f>
        <v>43900</v>
      </c>
      <c r="E187" s="7">
        <f t="shared" ref="E187:H187" si="83">E188</f>
        <v>0</v>
      </c>
      <c r="F187" s="7">
        <f t="shared" si="62"/>
        <v>43900</v>
      </c>
      <c r="G187" s="7">
        <f t="shared" si="83"/>
        <v>0</v>
      </c>
      <c r="H187" s="7">
        <f t="shared" si="83"/>
        <v>0</v>
      </c>
      <c r="I187" s="7">
        <f t="shared" si="60"/>
        <v>0</v>
      </c>
      <c r="J187" s="7">
        <f t="shared" si="63"/>
        <v>43900</v>
      </c>
    </row>
    <row r="188" spans="1:10" x14ac:dyDescent="0.25">
      <c r="A188" s="18" t="s">
        <v>55</v>
      </c>
      <c r="B188" s="17"/>
      <c r="C188" s="50" t="s">
        <v>137</v>
      </c>
      <c r="D188" s="288">
        <f>SUM(D189:D190)</f>
        <v>43900</v>
      </c>
      <c r="E188" s="288">
        <f t="shared" ref="E188:H188" si="84">SUM(E189:E190)</f>
        <v>0</v>
      </c>
      <c r="F188" s="288">
        <f t="shared" si="62"/>
        <v>43900</v>
      </c>
      <c r="G188" s="288">
        <f t="shared" si="84"/>
        <v>0</v>
      </c>
      <c r="H188" s="288">
        <f t="shared" si="84"/>
        <v>0</v>
      </c>
      <c r="I188" s="288">
        <f t="shared" si="60"/>
        <v>0</v>
      </c>
      <c r="J188" s="288">
        <f t="shared" si="63"/>
        <v>43900</v>
      </c>
    </row>
    <row r="189" spans="1:10" x14ac:dyDescent="0.25">
      <c r="A189" s="15"/>
      <c r="B189" s="9" t="s">
        <v>6</v>
      </c>
      <c r="C189" s="52" t="s">
        <v>7</v>
      </c>
      <c r="D189" s="16">
        <v>33900</v>
      </c>
      <c r="E189" s="16">
        <v>0</v>
      </c>
      <c r="F189" s="16">
        <f t="shared" si="62"/>
        <v>33900</v>
      </c>
      <c r="G189" s="16">
        <v>0</v>
      </c>
      <c r="H189" s="16">
        <v>0</v>
      </c>
      <c r="I189" s="16">
        <f t="shared" si="60"/>
        <v>0</v>
      </c>
      <c r="J189" s="16">
        <f t="shared" si="63"/>
        <v>33900</v>
      </c>
    </row>
    <row r="190" spans="1:10" x14ac:dyDescent="0.25">
      <c r="A190" s="15"/>
      <c r="B190" s="9">
        <v>4</v>
      </c>
      <c r="C190" s="52" t="s">
        <v>15</v>
      </c>
      <c r="D190" s="16">
        <v>10000</v>
      </c>
      <c r="E190" s="16">
        <v>0</v>
      </c>
      <c r="F190" s="16">
        <f t="shared" si="62"/>
        <v>10000</v>
      </c>
      <c r="G190" s="16">
        <v>0</v>
      </c>
      <c r="H190" s="16">
        <v>0</v>
      </c>
      <c r="I190" s="16">
        <f t="shared" si="60"/>
        <v>0</v>
      </c>
      <c r="J190" s="16">
        <f t="shared" si="63"/>
        <v>10000</v>
      </c>
    </row>
    <row r="191" spans="1:10" s="10" customFormat="1" x14ac:dyDescent="0.25">
      <c r="A191" s="27" t="s">
        <v>10</v>
      </c>
      <c r="B191" s="14"/>
      <c r="C191" s="49" t="s">
        <v>11</v>
      </c>
      <c r="D191" s="7">
        <f>D192+D196+D199</f>
        <v>11126484</v>
      </c>
      <c r="E191" s="7">
        <f>E192+E196+E199</f>
        <v>0</v>
      </c>
      <c r="F191" s="7">
        <f t="shared" si="62"/>
        <v>11126484</v>
      </c>
      <c r="G191" s="7">
        <f>G192+G196+G199</f>
        <v>0</v>
      </c>
      <c r="H191" s="7">
        <f>H192+H196+H199</f>
        <v>383475</v>
      </c>
      <c r="I191" s="16">
        <f t="shared" si="60"/>
        <v>383475</v>
      </c>
      <c r="J191" s="7">
        <f t="shared" si="63"/>
        <v>11509959</v>
      </c>
    </row>
    <row r="192" spans="1:10" x14ac:dyDescent="0.25">
      <c r="A192" s="18" t="s">
        <v>60</v>
      </c>
      <c r="B192" s="17"/>
      <c r="C192" s="50" t="s">
        <v>139</v>
      </c>
      <c r="D192" s="288">
        <f>SUM(D193:D195)</f>
        <v>1705840</v>
      </c>
      <c r="E192" s="288">
        <f>SUM(E193:E195)</f>
        <v>0</v>
      </c>
      <c r="F192" s="288">
        <f t="shared" si="62"/>
        <v>1705840</v>
      </c>
      <c r="G192" s="288">
        <f>SUM(G193:G195)</f>
        <v>0</v>
      </c>
      <c r="H192" s="288">
        <f>SUM(H193:H195)</f>
        <v>0</v>
      </c>
      <c r="I192" s="288">
        <f t="shared" si="60"/>
        <v>0</v>
      </c>
      <c r="J192" s="288">
        <f t="shared" si="63"/>
        <v>1705840</v>
      </c>
    </row>
    <row r="193" spans="1:10" x14ac:dyDescent="0.25">
      <c r="A193" s="15"/>
      <c r="B193" s="9" t="s">
        <v>6</v>
      </c>
      <c r="C193" s="52" t="s">
        <v>7</v>
      </c>
      <c r="D193" s="16">
        <v>1680820</v>
      </c>
      <c r="E193" s="16">
        <v>0</v>
      </c>
      <c r="F193" s="16">
        <f t="shared" si="62"/>
        <v>1680820</v>
      </c>
      <c r="G193" s="16">
        <v>0</v>
      </c>
      <c r="H193" s="16">
        <v>0</v>
      </c>
      <c r="I193" s="16">
        <f t="shared" si="60"/>
        <v>0</v>
      </c>
      <c r="J193" s="16">
        <f t="shared" si="63"/>
        <v>1680820</v>
      </c>
    </row>
    <row r="194" spans="1:10" s="2" customFormat="1" x14ac:dyDescent="0.25">
      <c r="A194" s="15"/>
      <c r="B194" s="9">
        <v>4</v>
      </c>
      <c r="C194" s="52" t="s">
        <v>15</v>
      </c>
      <c r="D194" s="16">
        <v>20020</v>
      </c>
      <c r="E194" s="16">
        <v>0</v>
      </c>
      <c r="F194" s="16">
        <f t="shared" ref="F194" si="85">D194+E194</f>
        <v>20020</v>
      </c>
      <c r="G194" s="16">
        <v>0</v>
      </c>
      <c r="H194" s="16">
        <v>0</v>
      </c>
      <c r="I194" s="16">
        <f t="shared" ref="I194" si="86">SUM(G194:H194)</f>
        <v>0</v>
      </c>
      <c r="J194" s="16">
        <f t="shared" ref="J194" si="87">I194+F194</f>
        <v>20020</v>
      </c>
    </row>
    <row r="195" spans="1:10" x14ac:dyDescent="0.25">
      <c r="A195" s="15"/>
      <c r="B195" s="9" t="s">
        <v>8</v>
      </c>
      <c r="C195" s="52" t="s">
        <v>9</v>
      </c>
      <c r="D195" s="16">
        <v>5000</v>
      </c>
      <c r="E195" s="16">
        <v>0</v>
      </c>
      <c r="F195" s="16">
        <f t="shared" si="62"/>
        <v>5000</v>
      </c>
      <c r="G195" s="16">
        <v>0</v>
      </c>
      <c r="H195" s="16">
        <v>0</v>
      </c>
      <c r="I195" s="16">
        <f t="shared" si="60"/>
        <v>0</v>
      </c>
      <c r="J195" s="16">
        <f t="shared" si="63"/>
        <v>5000</v>
      </c>
    </row>
    <row r="196" spans="1:10" x14ac:dyDescent="0.25">
      <c r="A196" s="18" t="s">
        <v>60</v>
      </c>
      <c r="B196" s="17"/>
      <c r="C196" s="50" t="s">
        <v>140</v>
      </c>
      <c r="D196" s="288">
        <f>SUM(D197:D198)</f>
        <v>775907</v>
      </c>
      <c r="E196" s="288">
        <f t="shared" ref="E196:H196" si="88">SUM(E197:E198)</f>
        <v>0</v>
      </c>
      <c r="F196" s="288">
        <f t="shared" si="62"/>
        <v>775907</v>
      </c>
      <c r="G196" s="288">
        <f t="shared" si="88"/>
        <v>0</v>
      </c>
      <c r="H196" s="288">
        <f t="shared" si="88"/>
        <v>71552</v>
      </c>
      <c r="I196" s="288">
        <f t="shared" si="60"/>
        <v>71552</v>
      </c>
      <c r="J196" s="288">
        <f t="shared" si="63"/>
        <v>847459</v>
      </c>
    </row>
    <row r="197" spans="1:10" x14ac:dyDescent="0.25">
      <c r="A197" s="15"/>
      <c r="B197" s="9" t="s">
        <v>4</v>
      </c>
      <c r="C197" s="52" t="s">
        <v>5</v>
      </c>
      <c r="D197" s="16">
        <v>3599</v>
      </c>
      <c r="E197" s="16">
        <v>0</v>
      </c>
      <c r="F197" s="16">
        <f t="shared" si="62"/>
        <v>3599</v>
      </c>
      <c r="G197" s="16">
        <v>0</v>
      </c>
      <c r="H197" s="16">
        <v>20390</v>
      </c>
      <c r="I197" s="16">
        <f t="shared" si="60"/>
        <v>20390</v>
      </c>
      <c r="J197" s="16">
        <f t="shared" si="63"/>
        <v>23989</v>
      </c>
    </row>
    <row r="198" spans="1:10" x14ac:dyDescent="0.25">
      <c r="A198" s="15"/>
      <c r="B198" s="9" t="s">
        <v>6</v>
      </c>
      <c r="C198" s="52" t="s">
        <v>7</v>
      </c>
      <c r="D198" s="16">
        <v>772308</v>
      </c>
      <c r="E198" s="16">
        <v>0</v>
      </c>
      <c r="F198" s="16">
        <f t="shared" si="62"/>
        <v>772308</v>
      </c>
      <c r="G198" s="16">
        <v>0</v>
      </c>
      <c r="H198" s="16">
        <v>51162</v>
      </c>
      <c r="I198" s="16">
        <f t="shared" si="60"/>
        <v>51162</v>
      </c>
      <c r="J198" s="16">
        <f t="shared" si="63"/>
        <v>823470</v>
      </c>
    </row>
    <row r="199" spans="1:10" x14ac:dyDescent="0.25">
      <c r="A199" s="18" t="s">
        <v>22</v>
      </c>
      <c r="B199" s="17"/>
      <c r="C199" s="50" t="s">
        <v>117</v>
      </c>
      <c r="D199" s="288">
        <f>SUM(D200:D202)</f>
        <v>8644737</v>
      </c>
      <c r="E199" s="288">
        <f t="shared" ref="E199:H199" si="89">SUM(E200:E202)</f>
        <v>0</v>
      </c>
      <c r="F199" s="288">
        <f t="shared" si="62"/>
        <v>8644737</v>
      </c>
      <c r="G199" s="288">
        <f t="shared" si="89"/>
        <v>0</v>
      </c>
      <c r="H199" s="288">
        <f t="shared" si="89"/>
        <v>311923</v>
      </c>
      <c r="I199" s="288">
        <f t="shared" si="60"/>
        <v>311923</v>
      </c>
      <c r="J199" s="288">
        <f t="shared" si="63"/>
        <v>8956660</v>
      </c>
    </row>
    <row r="200" spans="1:10" x14ac:dyDescent="0.25">
      <c r="A200" s="15"/>
      <c r="B200" s="9" t="s">
        <v>4</v>
      </c>
      <c r="C200" s="52" t="s">
        <v>5</v>
      </c>
      <c r="D200" s="16">
        <v>170973</v>
      </c>
      <c r="E200" s="16">
        <v>0</v>
      </c>
      <c r="F200" s="16">
        <f t="shared" si="62"/>
        <v>170973</v>
      </c>
      <c r="G200" s="16">
        <v>0</v>
      </c>
      <c r="H200" s="16">
        <v>57904</v>
      </c>
      <c r="I200" s="16">
        <f t="shared" ref="I200:I265" si="90">SUM(G200:H200)</f>
        <v>57904</v>
      </c>
      <c r="J200" s="16">
        <f t="shared" si="63"/>
        <v>228877</v>
      </c>
    </row>
    <row r="201" spans="1:10" x14ac:dyDescent="0.25">
      <c r="A201" s="15"/>
      <c r="B201" s="9" t="s">
        <v>6</v>
      </c>
      <c r="C201" s="52" t="s">
        <v>7</v>
      </c>
      <c r="D201" s="16">
        <v>8472914</v>
      </c>
      <c r="E201" s="16">
        <v>0</v>
      </c>
      <c r="F201" s="16">
        <f t="shared" ref="F201:F266" si="91">D201+E201</f>
        <v>8472914</v>
      </c>
      <c r="G201" s="16">
        <v>0</v>
      </c>
      <c r="H201" s="16">
        <v>254019</v>
      </c>
      <c r="I201" s="16">
        <f t="shared" si="90"/>
        <v>254019</v>
      </c>
      <c r="J201" s="16">
        <f t="shared" ref="J201:J266" si="92">I201+F201</f>
        <v>8726933</v>
      </c>
    </row>
    <row r="202" spans="1:10" ht="16.5" customHeight="1" x14ac:dyDescent="0.25">
      <c r="A202" s="15"/>
      <c r="B202" s="9">
        <v>4</v>
      </c>
      <c r="C202" s="52" t="s">
        <v>15</v>
      </c>
      <c r="D202" s="16">
        <v>850</v>
      </c>
      <c r="E202" s="16">
        <v>0</v>
      </c>
      <c r="F202" s="16">
        <f t="shared" si="91"/>
        <v>850</v>
      </c>
      <c r="G202" s="16">
        <v>0</v>
      </c>
      <c r="H202" s="16">
        <v>0</v>
      </c>
      <c r="I202" s="16">
        <f t="shared" si="90"/>
        <v>0</v>
      </c>
      <c r="J202" s="16">
        <f t="shared" si="92"/>
        <v>850</v>
      </c>
    </row>
    <row r="203" spans="1:10" s="10" customFormat="1" x14ac:dyDescent="0.25">
      <c r="A203" s="27" t="s">
        <v>61</v>
      </c>
      <c r="B203" s="14"/>
      <c r="C203" s="49" t="s">
        <v>62</v>
      </c>
      <c r="D203" s="7">
        <f>D204+D207+D210+D213+D215+D218</f>
        <v>6492929</v>
      </c>
      <c r="E203" s="7">
        <f t="shared" ref="E203:H203" si="93">E204+E207+E210+E213+E215+E218</f>
        <v>0</v>
      </c>
      <c r="F203" s="7">
        <f t="shared" si="91"/>
        <v>6492929</v>
      </c>
      <c r="G203" s="7">
        <f t="shared" si="93"/>
        <v>0</v>
      </c>
      <c r="H203" s="7">
        <f t="shared" si="93"/>
        <v>11699</v>
      </c>
      <c r="I203" s="16">
        <f t="shared" si="90"/>
        <v>11699</v>
      </c>
      <c r="J203" s="7">
        <f t="shared" si="92"/>
        <v>6504628</v>
      </c>
    </row>
    <row r="204" spans="1:10" x14ac:dyDescent="0.25">
      <c r="A204" s="18" t="s">
        <v>63</v>
      </c>
      <c r="B204" s="17"/>
      <c r="C204" s="50" t="s">
        <v>141</v>
      </c>
      <c r="D204" s="288">
        <f>SUM(D205:D206)</f>
        <v>155200</v>
      </c>
      <c r="E204" s="288">
        <f t="shared" ref="E204:H204" si="94">SUM(E205:E206)</f>
        <v>0</v>
      </c>
      <c r="F204" s="288">
        <f t="shared" si="91"/>
        <v>155200</v>
      </c>
      <c r="G204" s="288">
        <f t="shared" si="94"/>
        <v>0</v>
      </c>
      <c r="H204" s="288">
        <f t="shared" si="94"/>
        <v>0</v>
      </c>
      <c r="I204" s="288">
        <f t="shared" si="90"/>
        <v>0</v>
      </c>
      <c r="J204" s="288">
        <f t="shared" si="92"/>
        <v>155200</v>
      </c>
    </row>
    <row r="205" spans="1:10" x14ac:dyDescent="0.25">
      <c r="A205" s="15"/>
      <c r="B205" s="9" t="s">
        <v>6</v>
      </c>
      <c r="C205" s="52" t="s">
        <v>7</v>
      </c>
      <c r="D205" s="16">
        <v>155200</v>
      </c>
      <c r="E205" s="16">
        <v>0</v>
      </c>
      <c r="F205" s="16">
        <f t="shared" si="91"/>
        <v>155200</v>
      </c>
      <c r="G205" s="16">
        <v>0</v>
      </c>
      <c r="H205" s="16">
        <v>0</v>
      </c>
      <c r="I205" s="16">
        <f t="shared" si="90"/>
        <v>0</v>
      </c>
      <c r="J205" s="16">
        <f t="shared" si="92"/>
        <v>155200</v>
      </c>
    </row>
    <row r="206" spans="1:10" x14ac:dyDescent="0.25">
      <c r="A206" s="15"/>
      <c r="B206" s="9">
        <v>4</v>
      </c>
      <c r="C206" s="52" t="s">
        <v>15</v>
      </c>
      <c r="D206" s="16"/>
      <c r="E206" s="16">
        <v>0</v>
      </c>
      <c r="F206" s="16">
        <f t="shared" si="91"/>
        <v>0</v>
      </c>
      <c r="G206" s="16">
        <v>0</v>
      </c>
      <c r="H206" s="16">
        <v>0</v>
      </c>
      <c r="I206" s="16">
        <f t="shared" si="90"/>
        <v>0</v>
      </c>
      <c r="J206" s="16">
        <f t="shared" si="92"/>
        <v>0</v>
      </c>
    </row>
    <row r="207" spans="1:10" x14ac:dyDescent="0.25">
      <c r="A207" s="18" t="s">
        <v>63</v>
      </c>
      <c r="B207" s="17"/>
      <c r="C207" s="50" t="s">
        <v>142</v>
      </c>
      <c r="D207" s="288">
        <f>SUM(D208:D209)</f>
        <v>393760</v>
      </c>
      <c r="E207" s="288">
        <f t="shared" ref="E207:H207" si="95">SUM(E208:E209)</f>
        <v>0</v>
      </c>
      <c r="F207" s="288">
        <f t="shared" si="91"/>
        <v>393760</v>
      </c>
      <c r="G207" s="288">
        <f t="shared" si="95"/>
        <v>0</v>
      </c>
      <c r="H207" s="288">
        <f t="shared" si="95"/>
        <v>0</v>
      </c>
      <c r="I207" s="288">
        <f t="shared" si="90"/>
        <v>0</v>
      </c>
      <c r="J207" s="288">
        <f t="shared" si="92"/>
        <v>393760</v>
      </c>
    </row>
    <row r="208" spans="1:10" x14ac:dyDescent="0.25">
      <c r="A208" s="15"/>
      <c r="B208" s="9" t="s">
        <v>6</v>
      </c>
      <c r="C208" s="52" t="s">
        <v>7</v>
      </c>
      <c r="D208" s="16">
        <v>328760</v>
      </c>
      <c r="E208" s="16"/>
      <c r="F208" s="16">
        <f t="shared" si="91"/>
        <v>328760</v>
      </c>
      <c r="G208" s="16">
        <v>0</v>
      </c>
      <c r="H208" s="16">
        <v>0</v>
      </c>
      <c r="I208" s="16">
        <f t="shared" si="90"/>
        <v>0</v>
      </c>
      <c r="J208" s="16">
        <f t="shared" si="92"/>
        <v>328760</v>
      </c>
    </row>
    <row r="209" spans="1:10" x14ac:dyDescent="0.25">
      <c r="A209" s="15"/>
      <c r="B209" s="9">
        <v>4</v>
      </c>
      <c r="C209" s="52" t="s">
        <v>15</v>
      </c>
      <c r="D209" s="16">
        <v>65000</v>
      </c>
      <c r="E209" s="16"/>
      <c r="F209" s="16">
        <f t="shared" si="91"/>
        <v>65000</v>
      </c>
      <c r="G209" s="16">
        <v>0</v>
      </c>
      <c r="H209" s="16">
        <v>0</v>
      </c>
      <c r="I209" s="16">
        <f t="shared" si="90"/>
        <v>0</v>
      </c>
      <c r="J209" s="16">
        <f t="shared" si="92"/>
        <v>65000</v>
      </c>
    </row>
    <row r="210" spans="1:10" x14ac:dyDescent="0.25">
      <c r="A210" s="18" t="s">
        <v>64</v>
      </c>
      <c r="B210" s="17"/>
      <c r="C210" s="50" t="s">
        <v>143</v>
      </c>
      <c r="D210" s="288">
        <f>SUM(D211:D212)</f>
        <v>4399300</v>
      </c>
      <c r="E210" s="288">
        <f t="shared" ref="E210:H210" si="96">SUM(E211:E212)</f>
        <v>0</v>
      </c>
      <c r="F210" s="288">
        <f t="shared" si="91"/>
        <v>4399300</v>
      </c>
      <c r="G210" s="288">
        <f t="shared" si="96"/>
        <v>0</v>
      </c>
      <c r="H210" s="288">
        <f t="shared" si="96"/>
        <v>0</v>
      </c>
      <c r="I210" s="288">
        <f t="shared" si="90"/>
        <v>0</v>
      </c>
      <c r="J210" s="288">
        <f t="shared" si="92"/>
        <v>4399300</v>
      </c>
    </row>
    <row r="211" spans="1:10" x14ac:dyDescent="0.25">
      <c r="A211" s="15"/>
      <c r="B211" s="9" t="s">
        <v>6</v>
      </c>
      <c r="C211" s="52" t="s">
        <v>7</v>
      </c>
      <c r="D211" s="16">
        <v>4373500</v>
      </c>
      <c r="E211" s="16">
        <v>0</v>
      </c>
      <c r="F211" s="16">
        <f t="shared" si="91"/>
        <v>4373500</v>
      </c>
      <c r="G211" s="16">
        <v>0</v>
      </c>
      <c r="H211" s="16">
        <v>0</v>
      </c>
      <c r="I211" s="16">
        <f t="shared" si="90"/>
        <v>0</v>
      </c>
      <c r="J211" s="16">
        <f t="shared" si="92"/>
        <v>4373500</v>
      </c>
    </row>
    <row r="212" spans="1:10" x14ac:dyDescent="0.25">
      <c r="A212" s="15"/>
      <c r="B212" s="9">
        <v>4</v>
      </c>
      <c r="C212" s="52" t="s">
        <v>15</v>
      </c>
      <c r="D212" s="16">
        <v>25800</v>
      </c>
      <c r="E212" s="16">
        <v>0</v>
      </c>
      <c r="F212" s="16">
        <f t="shared" si="91"/>
        <v>25800</v>
      </c>
      <c r="G212" s="16">
        <v>0</v>
      </c>
      <c r="H212" s="16">
        <v>0</v>
      </c>
      <c r="I212" s="16">
        <f t="shared" si="90"/>
        <v>0</v>
      </c>
      <c r="J212" s="16">
        <f t="shared" si="92"/>
        <v>25800</v>
      </c>
    </row>
    <row r="213" spans="1:10" x14ac:dyDescent="0.25">
      <c r="A213" s="18" t="s">
        <v>65</v>
      </c>
      <c r="B213" s="17"/>
      <c r="C213" s="50" t="s">
        <v>144</v>
      </c>
      <c r="D213" s="288">
        <f>SUM(D214)</f>
        <v>134560</v>
      </c>
      <c r="E213" s="288">
        <f t="shared" ref="E213:H213" si="97">SUM(E214)</f>
        <v>0</v>
      </c>
      <c r="F213" s="288">
        <f t="shared" si="91"/>
        <v>134560</v>
      </c>
      <c r="G213" s="288">
        <f t="shared" si="97"/>
        <v>0</v>
      </c>
      <c r="H213" s="288">
        <f t="shared" si="97"/>
        <v>0</v>
      </c>
      <c r="I213" s="288">
        <f t="shared" si="90"/>
        <v>0</v>
      </c>
      <c r="J213" s="288">
        <f t="shared" si="92"/>
        <v>134560</v>
      </c>
    </row>
    <row r="214" spans="1:10" x14ac:dyDescent="0.25">
      <c r="A214" s="15"/>
      <c r="B214" s="9" t="s">
        <v>6</v>
      </c>
      <c r="C214" s="52" t="s">
        <v>7</v>
      </c>
      <c r="D214" s="16">
        <v>134560</v>
      </c>
      <c r="E214" s="16">
        <v>0</v>
      </c>
      <c r="F214" s="16">
        <f t="shared" si="91"/>
        <v>134560</v>
      </c>
      <c r="G214" s="16">
        <v>0</v>
      </c>
      <c r="H214" s="16">
        <v>0</v>
      </c>
      <c r="I214" s="16">
        <f t="shared" si="90"/>
        <v>0</v>
      </c>
      <c r="J214" s="16">
        <f t="shared" si="92"/>
        <v>134560</v>
      </c>
    </row>
    <row r="215" spans="1:10" x14ac:dyDescent="0.25">
      <c r="A215" s="18" t="s">
        <v>66</v>
      </c>
      <c r="B215" s="17"/>
      <c r="C215" s="50" t="s">
        <v>145</v>
      </c>
      <c r="D215" s="288">
        <f>SUM(D216:D217)</f>
        <v>1326100</v>
      </c>
      <c r="E215" s="288">
        <f t="shared" ref="E215:H215" si="98">SUM(E216:E217)</f>
        <v>0</v>
      </c>
      <c r="F215" s="288">
        <f t="shared" si="91"/>
        <v>1326100</v>
      </c>
      <c r="G215" s="288">
        <f t="shared" si="98"/>
        <v>0</v>
      </c>
      <c r="H215" s="288">
        <f t="shared" si="98"/>
        <v>0</v>
      </c>
      <c r="I215" s="288">
        <f t="shared" si="90"/>
        <v>0</v>
      </c>
      <c r="J215" s="288">
        <f t="shared" si="92"/>
        <v>1326100</v>
      </c>
    </row>
    <row r="216" spans="1:10" x14ac:dyDescent="0.25">
      <c r="A216" s="15"/>
      <c r="B216" s="9" t="s">
        <v>6</v>
      </c>
      <c r="C216" s="52" t="s">
        <v>7</v>
      </c>
      <c r="D216" s="16">
        <v>1325100</v>
      </c>
      <c r="E216" s="16">
        <v>0</v>
      </c>
      <c r="F216" s="16">
        <f t="shared" si="91"/>
        <v>1325100</v>
      </c>
      <c r="G216" s="16">
        <v>0</v>
      </c>
      <c r="H216" s="16">
        <v>0</v>
      </c>
      <c r="I216" s="16">
        <f t="shared" si="90"/>
        <v>0</v>
      </c>
      <c r="J216" s="16">
        <f t="shared" si="92"/>
        <v>1325100</v>
      </c>
    </row>
    <row r="217" spans="1:10" x14ac:dyDescent="0.25">
      <c r="A217" s="15"/>
      <c r="B217" s="9" t="s">
        <v>8</v>
      </c>
      <c r="C217" s="52" t="s">
        <v>9</v>
      </c>
      <c r="D217" s="16">
        <v>1000</v>
      </c>
      <c r="E217" s="16">
        <v>0</v>
      </c>
      <c r="F217" s="16">
        <f t="shared" si="91"/>
        <v>1000</v>
      </c>
      <c r="G217" s="16">
        <v>0</v>
      </c>
      <c r="H217" s="16">
        <v>0</v>
      </c>
      <c r="I217" s="16">
        <f t="shared" si="90"/>
        <v>0</v>
      </c>
      <c r="J217" s="16">
        <f t="shared" si="92"/>
        <v>1000</v>
      </c>
    </row>
    <row r="218" spans="1:10" x14ac:dyDescent="0.25">
      <c r="A218" s="18" t="s">
        <v>67</v>
      </c>
      <c r="B218" s="17"/>
      <c r="C218" s="50" t="s">
        <v>146</v>
      </c>
      <c r="D218" s="288">
        <f>SUM(D219:D221)</f>
        <v>84009</v>
      </c>
      <c r="E218" s="288">
        <f>SUM(E219:E221)</f>
        <v>0</v>
      </c>
      <c r="F218" s="288">
        <f t="shared" si="91"/>
        <v>84009</v>
      </c>
      <c r="G218" s="288">
        <f t="shared" ref="G218:H218" si="99">SUM(G220:G221)</f>
        <v>0</v>
      </c>
      <c r="H218" s="288">
        <f t="shared" si="99"/>
        <v>11699</v>
      </c>
      <c r="I218" s="288">
        <f t="shared" si="90"/>
        <v>11699</v>
      </c>
      <c r="J218" s="288">
        <f t="shared" si="92"/>
        <v>95708</v>
      </c>
    </row>
    <row r="219" spans="1:10" s="2" customFormat="1" x14ac:dyDescent="0.25">
      <c r="A219" s="18"/>
      <c r="B219" s="9" t="s">
        <v>4</v>
      </c>
      <c r="C219" s="52" t="s">
        <v>5</v>
      </c>
      <c r="D219" s="16">
        <v>509</v>
      </c>
      <c r="E219" s="16"/>
      <c r="F219" s="16">
        <f t="shared" ref="F219" si="100">D219+E219</f>
        <v>509</v>
      </c>
      <c r="G219" s="16"/>
      <c r="H219" s="16"/>
      <c r="I219" s="16">
        <f t="shared" ref="I219" si="101">SUM(G219:H219)</f>
        <v>0</v>
      </c>
      <c r="J219" s="16">
        <f t="shared" ref="J219" si="102">I219+F219</f>
        <v>509</v>
      </c>
    </row>
    <row r="220" spans="1:10" x14ac:dyDescent="0.25">
      <c r="A220" s="15"/>
      <c r="B220" s="9" t="s">
        <v>6</v>
      </c>
      <c r="C220" s="52" t="s">
        <v>7</v>
      </c>
      <c r="D220" s="16">
        <v>71500</v>
      </c>
      <c r="E220" s="16">
        <v>0</v>
      </c>
      <c r="F220" s="16">
        <f t="shared" si="91"/>
        <v>71500</v>
      </c>
      <c r="G220" s="16">
        <v>0</v>
      </c>
      <c r="H220" s="16">
        <v>11699</v>
      </c>
      <c r="I220" s="16">
        <f t="shared" si="90"/>
        <v>11699</v>
      </c>
      <c r="J220" s="16">
        <f t="shared" si="92"/>
        <v>83199</v>
      </c>
    </row>
    <row r="221" spans="1:10" x14ac:dyDescent="0.25">
      <c r="A221" s="15"/>
      <c r="B221" s="9">
        <v>4</v>
      </c>
      <c r="C221" s="52" t="s">
        <v>15</v>
      </c>
      <c r="D221" s="16">
        <v>12000</v>
      </c>
      <c r="E221" s="16">
        <v>0</v>
      </c>
      <c r="F221" s="16">
        <f t="shared" si="91"/>
        <v>12000</v>
      </c>
      <c r="G221" s="16">
        <v>0</v>
      </c>
      <c r="H221" s="16">
        <v>0</v>
      </c>
      <c r="I221" s="16">
        <f t="shared" si="90"/>
        <v>0</v>
      </c>
      <c r="J221" s="16">
        <f t="shared" si="92"/>
        <v>12000</v>
      </c>
    </row>
    <row r="222" spans="1:10" s="10" customFormat="1" x14ac:dyDescent="0.25">
      <c r="A222" s="27" t="s">
        <v>68</v>
      </c>
      <c r="B222" s="14"/>
      <c r="C222" s="49" t="s">
        <v>69</v>
      </c>
      <c r="D222" s="7">
        <f>D223+D225+D228+D230+D232</f>
        <v>2341084</v>
      </c>
      <c r="E222" s="7">
        <f>E223+E225+E228+E230+E232</f>
        <v>0</v>
      </c>
      <c r="F222" s="7">
        <f t="shared" si="91"/>
        <v>2341084</v>
      </c>
      <c r="G222" s="7">
        <f>G225+G228+G230+G232</f>
        <v>0</v>
      </c>
      <c r="H222" s="7">
        <f>H225+H228+H230+H232</f>
        <v>0</v>
      </c>
      <c r="I222" s="7">
        <f t="shared" si="90"/>
        <v>0</v>
      </c>
      <c r="J222" s="7">
        <f t="shared" si="92"/>
        <v>2341084</v>
      </c>
    </row>
    <row r="223" spans="1:10" s="10" customFormat="1" x14ac:dyDescent="0.25">
      <c r="A223" s="1" t="s">
        <v>180</v>
      </c>
      <c r="B223" s="17"/>
      <c r="C223" s="50" t="s">
        <v>182</v>
      </c>
      <c r="D223" s="288">
        <f>SUM(D224)</f>
        <v>5000</v>
      </c>
      <c r="E223" s="288">
        <f t="shared" ref="E223:H223" si="103">SUM(E224)</f>
        <v>0</v>
      </c>
      <c r="F223" s="288">
        <f t="shared" ref="F223:F224" si="104">D223+E223</f>
        <v>5000</v>
      </c>
      <c r="G223" s="288">
        <f t="shared" si="103"/>
        <v>0</v>
      </c>
      <c r="H223" s="288">
        <f t="shared" si="103"/>
        <v>0</v>
      </c>
      <c r="I223" s="288">
        <f t="shared" ref="I223:I224" si="105">SUM(G223:H223)</f>
        <v>0</v>
      </c>
      <c r="J223" s="288">
        <f t="shared" ref="J223:J224" si="106">I223+F223</f>
        <v>5000</v>
      </c>
    </row>
    <row r="224" spans="1:10" s="10" customFormat="1" x14ac:dyDescent="0.25">
      <c r="A224" s="15"/>
      <c r="B224" s="9" t="s">
        <v>6</v>
      </c>
      <c r="C224" s="52" t="s">
        <v>7</v>
      </c>
      <c r="D224" s="16">
        <v>5000</v>
      </c>
      <c r="E224" s="16">
        <v>0</v>
      </c>
      <c r="F224" s="16">
        <f t="shared" si="104"/>
        <v>5000</v>
      </c>
      <c r="G224" s="16">
        <v>0</v>
      </c>
      <c r="H224" s="16">
        <v>0</v>
      </c>
      <c r="I224" s="16">
        <f t="shared" si="105"/>
        <v>0</v>
      </c>
      <c r="J224" s="16">
        <f t="shared" si="106"/>
        <v>5000</v>
      </c>
    </row>
    <row r="225" spans="1:10" x14ac:dyDescent="0.25">
      <c r="A225" s="18" t="s">
        <v>70</v>
      </c>
      <c r="B225" s="17"/>
      <c r="C225" s="50" t="s">
        <v>147</v>
      </c>
      <c r="D225" s="288">
        <f>SUM(D226:D227)</f>
        <v>1521230</v>
      </c>
      <c r="E225" s="288">
        <f t="shared" ref="E225:H225" si="107">SUM(E226:E227)</f>
        <v>0</v>
      </c>
      <c r="F225" s="288">
        <f t="shared" si="91"/>
        <v>1521230</v>
      </c>
      <c r="G225" s="288">
        <f t="shared" si="107"/>
        <v>0</v>
      </c>
      <c r="H225" s="288">
        <f t="shared" si="107"/>
        <v>0</v>
      </c>
      <c r="I225" s="288">
        <f t="shared" si="90"/>
        <v>0</v>
      </c>
      <c r="J225" s="288">
        <f t="shared" si="92"/>
        <v>1521230</v>
      </c>
    </row>
    <row r="226" spans="1:10" x14ac:dyDescent="0.25">
      <c r="A226" s="15"/>
      <c r="B226" s="9" t="s">
        <v>6</v>
      </c>
      <c r="C226" s="52" t="s">
        <v>7</v>
      </c>
      <c r="D226" s="16">
        <v>1520190</v>
      </c>
      <c r="E226" s="16">
        <v>0</v>
      </c>
      <c r="F226" s="16">
        <f t="shared" si="91"/>
        <v>1520190</v>
      </c>
      <c r="G226" s="16">
        <v>0</v>
      </c>
      <c r="H226" s="16">
        <v>0</v>
      </c>
      <c r="I226" s="16">
        <f t="shared" si="90"/>
        <v>0</v>
      </c>
      <c r="J226" s="16">
        <f t="shared" si="92"/>
        <v>1520190</v>
      </c>
    </row>
    <row r="227" spans="1:10" x14ac:dyDescent="0.25">
      <c r="A227" s="15"/>
      <c r="B227" s="9">
        <v>4</v>
      </c>
      <c r="C227" s="52" t="s">
        <v>15</v>
      </c>
      <c r="D227" s="16">
        <v>1040</v>
      </c>
      <c r="E227" s="16">
        <v>0</v>
      </c>
      <c r="F227" s="16">
        <f t="shared" si="91"/>
        <v>1040</v>
      </c>
      <c r="G227" s="16">
        <v>0</v>
      </c>
      <c r="H227" s="16">
        <v>0</v>
      </c>
      <c r="I227" s="16">
        <f t="shared" si="90"/>
        <v>0</v>
      </c>
      <c r="J227" s="16">
        <f t="shared" si="92"/>
        <v>1040</v>
      </c>
    </row>
    <row r="228" spans="1:10" ht="26.25" x14ac:dyDescent="0.25">
      <c r="A228" s="18" t="s">
        <v>71</v>
      </c>
      <c r="B228" s="17"/>
      <c r="C228" s="50" t="s">
        <v>148</v>
      </c>
      <c r="D228" s="288">
        <f>SUM(D229:D229)</f>
        <v>32400</v>
      </c>
      <c r="E228" s="288">
        <f>SUM(E229:E229)</f>
        <v>0</v>
      </c>
      <c r="F228" s="288">
        <f t="shared" si="91"/>
        <v>32400</v>
      </c>
      <c r="G228" s="288">
        <f>SUM(G229:G229)</f>
        <v>0</v>
      </c>
      <c r="H228" s="288">
        <f>SUM(H229:H229)</f>
        <v>0</v>
      </c>
      <c r="I228" s="288">
        <f t="shared" si="90"/>
        <v>0</v>
      </c>
      <c r="J228" s="288">
        <f t="shared" si="92"/>
        <v>32400</v>
      </c>
    </row>
    <row r="229" spans="1:10" x14ac:dyDescent="0.25">
      <c r="A229" s="15"/>
      <c r="B229" s="9" t="s">
        <v>6</v>
      </c>
      <c r="C229" s="52" t="s">
        <v>7</v>
      </c>
      <c r="D229" s="16">
        <v>32400</v>
      </c>
      <c r="E229" s="16">
        <v>0</v>
      </c>
      <c r="F229" s="16">
        <f t="shared" si="91"/>
        <v>32400</v>
      </c>
      <c r="G229" s="16">
        <v>0</v>
      </c>
      <c r="H229" s="16">
        <v>0</v>
      </c>
      <c r="I229" s="16">
        <f t="shared" si="90"/>
        <v>0</v>
      </c>
      <c r="J229" s="16">
        <f t="shared" si="92"/>
        <v>32400</v>
      </c>
    </row>
    <row r="230" spans="1:10" ht="26.25" x14ac:dyDescent="0.25">
      <c r="A230" s="18" t="s">
        <v>71</v>
      </c>
      <c r="B230" s="17"/>
      <c r="C230" s="50" t="s">
        <v>149</v>
      </c>
      <c r="D230" s="288">
        <f>D231</f>
        <v>239000</v>
      </c>
      <c r="E230" s="288">
        <f t="shared" ref="E230:H230" si="108">E231</f>
        <v>0</v>
      </c>
      <c r="F230" s="288">
        <f t="shared" si="91"/>
        <v>239000</v>
      </c>
      <c r="G230" s="288">
        <f t="shared" si="108"/>
        <v>0</v>
      </c>
      <c r="H230" s="288">
        <f t="shared" si="108"/>
        <v>0</v>
      </c>
      <c r="I230" s="288">
        <f t="shared" si="90"/>
        <v>0</v>
      </c>
      <c r="J230" s="288">
        <f t="shared" si="92"/>
        <v>239000</v>
      </c>
    </row>
    <row r="231" spans="1:10" x14ac:dyDescent="0.25">
      <c r="A231" s="15"/>
      <c r="B231" s="9" t="s">
        <v>6</v>
      </c>
      <c r="C231" s="52" t="s">
        <v>7</v>
      </c>
      <c r="D231" s="16">
        <v>239000</v>
      </c>
      <c r="E231" s="16">
        <v>0</v>
      </c>
      <c r="F231" s="16">
        <f t="shared" si="91"/>
        <v>239000</v>
      </c>
      <c r="G231" s="16">
        <v>0</v>
      </c>
      <c r="H231" s="16">
        <v>0</v>
      </c>
      <c r="I231" s="16">
        <f t="shared" si="90"/>
        <v>0</v>
      </c>
      <c r="J231" s="16">
        <f t="shared" si="92"/>
        <v>239000</v>
      </c>
    </row>
    <row r="232" spans="1:10" x14ac:dyDescent="0.25">
      <c r="A232" s="18" t="s">
        <v>71</v>
      </c>
      <c r="B232" s="17"/>
      <c r="C232" s="50" t="s">
        <v>150</v>
      </c>
      <c r="D232" s="288">
        <f>SUM(D233:D234)</f>
        <v>543454</v>
      </c>
      <c r="E232" s="288">
        <f t="shared" ref="E232:H232" si="109">SUM(E233:E234)</f>
        <v>0</v>
      </c>
      <c r="F232" s="288">
        <f t="shared" si="91"/>
        <v>543454</v>
      </c>
      <c r="G232" s="288">
        <f t="shared" si="109"/>
        <v>0</v>
      </c>
      <c r="H232" s="288">
        <f t="shared" si="109"/>
        <v>0</v>
      </c>
      <c r="I232" s="288">
        <f t="shared" si="90"/>
        <v>0</v>
      </c>
      <c r="J232" s="288">
        <f t="shared" si="92"/>
        <v>543454</v>
      </c>
    </row>
    <row r="233" spans="1:10" x14ac:dyDescent="0.25">
      <c r="A233" s="15"/>
      <c r="B233" s="9" t="s">
        <v>4</v>
      </c>
      <c r="C233" s="52" t="s">
        <v>5</v>
      </c>
      <c r="D233" s="16">
        <v>303892</v>
      </c>
      <c r="E233" s="16">
        <v>0</v>
      </c>
      <c r="F233" s="16">
        <f t="shared" si="91"/>
        <v>303892</v>
      </c>
      <c r="G233" s="16">
        <v>0</v>
      </c>
      <c r="H233" s="16">
        <v>0</v>
      </c>
      <c r="I233" s="16">
        <f t="shared" si="90"/>
        <v>0</v>
      </c>
      <c r="J233" s="16">
        <f t="shared" si="92"/>
        <v>303892</v>
      </c>
    </row>
    <row r="234" spans="1:10" x14ac:dyDescent="0.25">
      <c r="A234" s="15"/>
      <c r="B234" s="9" t="s">
        <v>6</v>
      </c>
      <c r="C234" s="52" t="s">
        <v>7</v>
      </c>
      <c r="D234" s="16">
        <v>239562</v>
      </c>
      <c r="E234" s="16">
        <v>0</v>
      </c>
      <c r="F234" s="16">
        <f t="shared" si="91"/>
        <v>239562</v>
      </c>
      <c r="G234" s="16">
        <v>0</v>
      </c>
      <c r="H234" s="16">
        <v>0</v>
      </c>
      <c r="I234" s="16">
        <f t="shared" si="90"/>
        <v>0</v>
      </c>
      <c r="J234" s="16">
        <f t="shared" si="92"/>
        <v>239562</v>
      </c>
    </row>
    <row r="235" spans="1:10" x14ac:dyDescent="0.25">
      <c r="A235" s="19" t="s">
        <v>72</v>
      </c>
      <c r="B235" s="26"/>
      <c r="C235" s="48"/>
      <c r="D235" s="7">
        <f>D236+D243</f>
        <v>1231938</v>
      </c>
      <c r="E235" s="7">
        <f t="shared" ref="E235:H235" si="110">E236+E243</f>
        <v>0</v>
      </c>
      <c r="F235" s="7">
        <f t="shared" si="91"/>
        <v>1231938</v>
      </c>
      <c r="G235" s="7">
        <f t="shared" si="110"/>
        <v>1000</v>
      </c>
      <c r="H235" s="7">
        <f t="shared" si="110"/>
        <v>56000</v>
      </c>
      <c r="I235" s="7">
        <f t="shared" si="90"/>
        <v>57000</v>
      </c>
      <c r="J235" s="7">
        <f t="shared" si="92"/>
        <v>1288938</v>
      </c>
    </row>
    <row r="236" spans="1:10" s="10" customFormat="1" x14ac:dyDescent="0.25">
      <c r="A236" s="27" t="s">
        <v>1</v>
      </c>
      <c r="B236" s="14"/>
      <c r="C236" s="49" t="s">
        <v>2</v>
      </c>
      <c r="D236" s="7">
        <f>D237+D240</f>
        <v>650938</v>
      </c>
      <c r="E236" s="7">
        <f t="shared" ref="E236:H236" si="111">E237+E240</f>
        <v>0</v>
      </c>
      <c r="F236" s="7">
        <f t="shared" si="91"/>
        <v>650938</v>
      </c>
      <c r="G236" s="7">
        <f t="shared" si="111"/>
        <v>0</v>
      </c>
      <c r="H236" s="7">
        <f t="shared" si="111"/>
        <v>0</v>
      </c>
      <c r="I236" s="7">
        <f t="shared" si="90"/>
        <v>0</v>
      </c>
      <c r="J236" s="7">
        <f t="shared" si="92"/>
        <v>650938</v>
      </c>
    </row>
    <row r="237" spans="1:10" x14ac:dyDescent="0.25">
      <c r="A237" s="18" t="s">
        <v>3</v>
      </c>
      <c r="B237" s="17"/>
      <c r="C237" s="50" t="s">
        <v>112</v>
      </c>
      <c r="D237" s="288">
        <f>SUM(D238:D239)</f>
        <v>592438</v>
      </c>
      <c r="E237" s="288">
        <f t="shared" ref="E237:H237" si="112">SUM(E238:E239)</f>
        <v>0</v>
      </c>
      <c r="F237" s="288">
        <f t="shared" si="91"/>
        <v>592438</v>
      </c>
      <c r="G237" s="288">
        <f t="shared" si="112"/>
        <v>0</v>
      </c>
      <c r="H237" s="288">
        <f t="shared" si="112"/>
        <v>0</v>
      </c>
      <c r="I237" s="288">
        <f t="shared" si="90"/>
        <v>0</v>
      </c>
      <c r="J237" s="288">
        <f t="shared" si="92"/>
        <v>592438</v>
      </c>
    </row>
    <row r="238" spans="1:10" x14ac:dyDescent="0.25">
      <c r="A238" s="15"/>
      <c r="B238" s="9" t="s">
        <v>4</v>
      </c>
      <c r="C238" s="52" t="s">
        <v>5</v>
      </c>
      <c r="D238" s="16">
        <v>568088</v>
      </c>
      <c r="E238" s="16">
        <v>0</v>
      </c>
      <c r="F238" s="16">
        <f t="shared" si="91"/>
        <v>568088</v>
      </c>
      <c r="G238" s="16">
        <v>0</v>
      </c>
      <c r="H238" s="16">
        <v>0</v>
      </c>
      <c r="I238" s="16">
        <f t="shared" si="90"/>
        <v>0</v>
      </c>
      <c r="J238" s="16">
        <f t="shared" si="92"/>
        <v>568088</v>
      </c>
    </row>
    <row r="239" spans="1:10" x14ac:dyDescent="0.25">
      <c r="A239" s="15"/>
      <c r="B239" s="9" t="s">
        <v>6</v>
      </c>
      <c r="C239" s="52" t="s">
        <v>7</v>
      </c>
      <c r="D239" s="16">
        <v>24350</v>
      </c>
      <c r="E239" s="16">
        <v>0</v>
      </c>
      <c r="F239" s="16">
        <f t="shared" si="91"/>
        <v>24350</v>
      </c>
      <c r="G239" s="16">
        <v>0</v>
      </c>
      <c r="H239" s="16">
        <v>0</v>
      </c>
      <c r="I239" s="16">
        <f t="shared" si="90"/>
        <v>0</v>
      </c>
      <c r="J239" s="16">
        <f t="shared" si="92"/>
        <v>24350</v>
      </c>
    </row>
    <row r="240" spans="1:10" x14ac:dyDescent="0.25">
      <c r="A240" s="18" t="s">
        <v>73</v>
      </c>
      <c r="B240" s="17"/>
      <c r="C240" s="51" t="s">
        <v>151</v>
      </c>
      <c r="D240" s="288">
        <f>SUM(D241:D242)</f>
        <v>58500</v>
      </c>
      <c r="E240" s="288">
        <f t="shared" ref="E240:H240" si="113">SUM(E241:E242)</f>
        <v>0</v>
      </c>
      <c r="F240" s="288">
        <f t="shared" si="91"/>
        <v>58500</v>
      </c>
      <c r="G240" s="288">
        <f t="shared" si="113"/>
        <v>0</v>
      </c>
      <c r="H240" s="288">
        <f t="shared" si="113"/>
        <v>0</v>
      </c>
      <c r="I240" s="288">
        <f t="shared" si="90"/>
        <v>0</v>
      </c>
      <c r="J240" s="288">
        <f t="shared" si="92"/>
        <v>58500</v>
      </c>
    </row>
    <row r="241" spans="1:10" x14ac:dyDescent="0.25">
      <c r="A241" s="15"/>
      <c r="B241" s="9" t="s">
        <v>4</v>
      </c>
      <c r="C241" s="52" t="s">
        <v>5</v>
      </c>
      <c r="D241" s="16">
        <v>2000</v>
      </c>
      <c r="E241" s="16">
        <v>0</v>
      </c>
      <c r="F241" s="16">
        <f t="shared" si="91"/>
        <v>2000</v>
      </c>
      <c r="G241" s="16">
        <v>0</v>
      </c>
      <c r="H241" s="16">
        <v>0</v>
      </c>
      <c r="I241" s="16">
        <f t="shared" si="90"/>
        <v>0</v>
      </c>
      <c r="J241" s="16">
        <f t="shared" si="92"/>
        <v>2000</v>
      </c>
    </row>
    <row r="242" spans="1:10" x14ac:dyDescent="0.25">
      <c r="A242" s="15"/>
      <c r="B242" s="9" t="s">
        <v>6</v>
      </c>
      <c r="C242" s="52" t="s">
        <v>7</v>
      </c>
      <c r="D242" s="16">
        <v>56500</v>
      </c>
      <c r="E242" s="16">
        <v>0</v>
      </c>
      <c r="F242" s="16">
        <f t="shared" si="91"/>
        <v>56500</v>
      </c>
      <c r="G242" s="16">
        <v>0</v>
      </c>
      <c r="H242" s="16">
        <v>0</v>
      </c>
      <c r="I242" s="16">
        <f t="shared" si="90"/>
        <v>0</v>
      </c>
      <c r="J242" s="16">
        <f t="shared" si="92"/>
        <v>56500</v>
      </c>
    </row>
    <row r="243" spans="1:10" s="10" customFormat="1" x14ac:dyDescent="0.25">
      <c r="A243" s="27" t="s">
        <v>10</v>
      </c>
      <c r="B243" s="14"/>
      <c r="C243" s="49" t="s">
        <v>11</v>
      </c>
      <c r="D243" s="7">
        <f>D244+D248</f>
        <v>581000</v>
      </c>
      <c r="E243" s="7">
        <f t="shared" ref="E243:H243" si="114">E244+E248</f>
        <v>0</v>
      </c>
      <c r="F243" s="7">
        <f t="shared" si="91"/>
        <v>581000</v>
      </c>
      <c r="G243" s="7">
        <f t="shared" si="114"/>
        <v>1000</v>
      </c>
      <c r="H243" s="7">
        <f t="shared" si="114"/>
        <v>56000</v>
      </c>
      <c r="I243" s="7">
        <f t="shared" si="90"/>
        <v>57000</v>
      </c>
      <c r="J243" s="7">
        <f t="shared" si="92"/>
        <v>638000</v>
      </c>
    </row>
    <row r="244" spans="1:10" x14ac:dyDescent="0.25">
      <c r="A244" s="18" t="s">
        <v>74</v>
      </c>
      <c r="B244" s="17"/>
      <c r="C244" s="50" t="s">
        <v>152</v>
      </c>
      <c r="D244" s="288">
        <f>SUM(D245:D247)</f>
        <v>163000</v>
      </c>
      <c r="E244" s="288">
        <f t="shared" ref="E244:H244" si="115">SUM(E245:E247)</f>
        <v>0</v>
      </c>
      <c r="F244" s="288">
        <f t="shared" si="91"/>
        <v>163000</v>
      </c>
      <c r="G244" s="288">
        <f t="shared" si="115"/>
        <v>1000</v>
      </c>
      <c r="H244" s="288">
        <f t="shared" si="115"/>
        <v>0</v>
      </c>
      <c r="I244" s="288">
        <f t="shared" si="90"/>
        <v>1000</v>
      </c>
      <c r="J244" s="288">
        <f t="shared" si="92"/>
        <v>164000</v>
      </c>
    </row>
    <row r="245" spans="1:10" x14ac:dyDescent="0.25">
      <c r="A245" s="15"/>
      <c r="B245" s="9" t="s">
        <v>4</v>
      </c>
      <c r="C245" s="52" t="s">
        <v>5</v>
      </c>
      <c r="D245" s="16">
        <v>8000</v>
      </c>
      <c r="E245" s="16">
        <v>0</v>
      </c>
      <c r="F245" s="16">
        <f t="shared" si="91"/>
        <v>8000</v>
      </c>
      <c r="G245" s="16">
        <v>937</v>
      </c>
      <c r="H245" s="16">
        <v>0</v>
      </c>
      <c r="I245" s="16">
        <f t="shared" si="90"/>
        <v>937</v>
      </c>
      <c r="J245" s="16">
        <f t="shared" si="92"/>
        <v>8937</v>
      </c>
    </row>
    <row r="246" spans="1:10" x14ac:dyDescent="0.25">
      <c r="A246" s="15"/>
      <c r="B246" s="9" t="s">
        <v>6</v>
      </c>
      <c r="C246" s="52" t="s">
        <v>7</v>
      </c>
      <c r="D246" s="16">
        <v>152000</v>
      </c>
      <c r="E246" s="16">
        <v>0</v>
      </c>
      <c r="F246" s="16">
        <f t="shared" si="91"/>
        <v>152000</v>
      </c>
      <c r="G246" s="16">
        <v>63</v>
      </c>
      <c r="H246" s="16">
        <v>0</v>
      </c>
      <c r="I246" s="16">
        <f t="shared" si="90"/>
        <v>63</v>
      </c>
      <c r="J246" s="16">
        <f t="shared" si="92"/>
        <v>152063</v>
      </c>
    </row>
    <row r="247" spans="1:10" x14ac:dyDescent="0.25">
      <c r="A247" s="15"/>
      <c r="B247" s="9" t="s">
        <v>8</v>
      </c>
      <c r="C247" s="52" t="s">
        <v>9</v>
      </c>
      <c r="D247" s="16">
        <v>3000</v>
      </c>
      <c r="E247" s="16">
        <v>0</v>
      </c>
      <c r="F247" s="16">
        <f t="shared" si="91"/>
        <v>3000</v>
      </c>
      <c r="G247" s="16">
        <v>0</v>
      </c>
      <c r="H247" s="16">
        <v>0</v>
      </c>
      <c r="I247" s="16">
        <f t="shared" si="90"/>
        <v>0</v>
      </c>
      <c r="J247" s="16">
        <f t="shared" si="92"/>
        <v>3000</v>
      </c>
    </row>
    <row r="248" spans="1:10" ht="26.25" x14ac:dyDescent="0.25">
      <c r="A248" s="18" t="s">
        <v>12</v>
      </c>
      <c r="B248" s="17"/>
      <c r="C248" s="50" t="s">
        <v>153</v>
      </c>
      <c r="D248" s="288">
        <f>SUM(D249:D250)</f>
        <v>418000</v>
      </c>
      <c r="E248" s="288">
        <f t="shared" ref="E248:H248" si="116">SUM(E249:E250)</f>
        <v>0</v>
      </c>
      <c r="F248" s="288">
        <f t="shared" si="91"/>
        <v>418000</v>
      </c>
      <c r="G248" s="288">
        <f t="shared" si="116"/>
        <v>0</v>
      </c>
      <c r="H248" s="288">
        <f t="shared" si="116"/>
        <v>56000</v>
      </c>
      <c r="I248" s="288">
        <f t="shared" si="90"/>
        <v>56000</v>
      </c>
      <c r="J248" s="288">
        <f t="shared" si="92"/>
        <v>474000</v>
      </c>
    </row>
    <row r="249" spans="1:10" x14ac:dyDescent="0.25">
      <c r="A249" s="15"/>
      <c r="B249" s="9" t="s">
        <v>4</v>
      </c>
      <c r="C249" s="52" t="s">
        <v>5</v>
      </c>
      <c r="D249" s="16">
        <v>20000</v>
      </c>
      <c r="E249" s="16">
        <v>0</v>
      </c>
      <c r="F249" s="16">
        <f t="shared" si="91"/>
        <v>20000</v>
      </c>
      <c r="G249" s="16">
        <v>0</v>
      </c>
      <c r="H249" s="16">
        <v>43000</v>
      </c>
      <c r="I249" s="16">
        <f t="shared" si="90"/>
        <v>43000</v>
      </c>
      <c r="J249" s="16">
        <f t="shared" si="92"/>
        <v>63000</v>
      </c>
    </row>
    <row r="250" spans="1:10" x14ac:dyDescent="0.25">
      <c r="A250" s="15"/>
      <c r="B250" s="9" t="s">
        <v>6</v>
      </c>
      <c r="C250" s="52" t="s">
        <v>7</v>
      </c>
      <c r="D250" s="16">
        <v>398000</v>
      </c>
      <c r="E250" s="16">
        <v>0</v>
      </c>
      <c r="F250" s="16">
        <f t="shared" si="91"/>
        <v>398000</v>
      </c>
      <c r="G250" s="16">
        <v>0</v>
      </c>
      <c r="H250" s="16">
        <v>13000</v>
      </c>
      <c r="I250" s="16">
        <f t="shared" si="90"/>
        <v>13000</v>
      </c>
      <c r="J250" s="16">
        <f t="shared" si="92"/>
        <v>411000</v>
      </c>
    </row>
    <row r="251" spans="1:10" x14ac:dyDescent="0.25">
      <c r="A251" s="8" t="s">
        <v>75</v>
      </c>
      <c r="B251" s="5"/>
      <c r="C251" s="53"/>
      <c r="D251" s="3">
        <f>D252+D257+D266+D271+D274+D277</f>
        <v>3074034</v>
      </c>
      <c r="E251" s="3">
        <f t="shared" ref="E251:H251" si="117">E252+E257+E266+E271+E274+E277</f>
        <v>0</v>
      </c>
      <c r="F251" s="7">
        <f t="shared" si="91"/>
        <v>3074034</v>
      </c>
      <c r="G251" s="3">
        <f t="shared" si="117"/>
        <v>0</v>
      </c>
      <c r="H251" s="3">
        <f t="shared" si="117"/>
        <v>741850</v>
      </c>
      <c r="I251" s="7">
        <f t="shared" si="90"/>
        <v>741850</v>
      </c>
      <c r="J251" s="7">
        <f t="shared" si="92"/>
        <v>3815884</v>
      </c>
    </row>
    <row r="252" spans="1:10" s="10" customFormat="1" x14ac:dyDescent="0.25">
      <c r="A252" s="27" t="s">
        <v>1</v>
      </c>
      <c r="B252" s="14"/>
      <c r="C252" s="49" t="s">
        <v>2</v>
      </c>
      <c r="D252" s="292">
        <f>D253</f>
        <v>1213188</v>
      </c>
      <c r="E252" s="292">
        <f t="shared" ref="E252:H252" si="118">E253</f>
        <v>0</v>
      </c>
      <c r="F252" s="292">
        <f t="shared" si="91"/>
        <v>1213188</v>
      </c>
      <c r="G252" s="292">
        <f t="shared" si="118"/>
        <v>0</v>
      </c>
      <c r="H252" s="292">
        <f t="shared" si="118"/>
        <v>0</v>
      </c>
      <c r="I252" s="292">
        <f t="shared" si="90"/>
        <v>0</v>
      </c>
      <c r="J252" s="292">
        <f t="shared" si="92"/>
        <v>1213188</v>
      </c>
    </row>
    <row r="253" spans="1:10" x14ac:dyDescent="0.25">
      <c r="A253" s="18" t="s">
        <v>3</v>
      </c>
      <c r="B253" s="17"/>
      <c r="C253" s="50" t="s">
        <v>112</v>
      </c>
      <c r="D253" s="16">
        <f>SUM(D254:D256)</f>
        <v>1213188</v>
      </c>
      <c r="E253" s="16">
        <f t="shared" ref="E253:H253" si="119">SUM(E254:E256)</f>
        <v>0</v>
      </c>
      <c r="F253" s="16">
        <f t="shared" si="91"/>
        <v>1213188</v>
      </c>
      <c r="G253" s="16">
        <f t="shared" si="119"/>
        <v>0</v>
      </c>
      <c r="H253" s="16">
        <f t="shared" si="119"/>
        <v>0</v>
      </c>
      <c r="I253" s="16">
        <f t="shared" si="90"/>
        <v>0</v>
      </c>
      <c r="J253" s="16">
        <f t="shared" si="92"/>
        <v>1213188</v>
      </c>
    </row>
    <row r="254" spans="1:10" x14ac:dyDescent="0.25">
      <c r="A254" s="15"/>
      <c r="B254" s="9" t="s">
        <v>4</v>
      </c>
      <c r="C254" s="52" t="s">
        <v>5</v>
      </c>
      <c r="D254" s="16">
        <v>755382</v>
      </c>
      <c r="E254" s="16">
        <v>0</v>
      </c>
      <c r="F254" s="16">
        <f t="shared" si="91"/>
        <v>755382</v>
      </c>
      <c r="G254" s="16">
        <v>0</v>
      </c>
      <c r="H254" s="16">
        <v>0</v>
      </c>
      <c r="I254" s="16">
        <f t="shared" si="90"/>
        <v>0</v>
      </c>
      <c r="J254" s="16">
        <f t="shared" si="92"/>
        <v>755382</v>
      </c>
    </row>
    <row r="255" spans="1:10" x14ac:dyDescent="0.25">
      <c r="A255" s="15"/>
      <c r="B255" s="9" t="s">
        <v>6</v>
      </c>
      <c r="C255" s="52" t="s">
        <v>7</v>
      </c>
      <c r="D255" s="16">
        <v>455806</v>
      </c>
      <c r="E255" s="16">
        <v>0</v>
      </c>
      <c r="F255" s="16">
        <f t="shared" si="91"/>
        <v>455806</v>
      </c>
      <c r="G255" s="16">
        <v>0</v>
      </c>
      <c r="H255" s="16">
        <v>0</v>
      </c>
      <c r="I255" s="16">
        <f t="shared" si="90"/>
        <v>0</v>
      </c>
      <c r="J255" s="16">
        <f t="shared" si="92"/>
        <v>455806</v>
      </c>
    </row>
    <row r="256" spans="1:10" x14ac:dyDescent="0.25">
      <c r="A256" s="15"/>
      <c r="B256" s="9" t="s">
        <v>8</v>
      </c>
      <c r="C256" s="52" t="s">
        <v>9</v>
      </c>
      <c r="D256" s="16">
        <v>2000</v>
      </c>
      <c r="E256" s="16">
        <v>0</v>
      </c>
      <c r="F256" s="16">
        <f t="shared" si="91"/>
        <v>2000</v>
      </c>
      <c r="G256" s="16">
        <v>0</v>
      </c>
      <c r="H256" s="16">
        <v>0</v>
      </c>
      <c r="I256" s="16">
        <f t="shared" si="90"/>
        <v>0</v>
      </c>
      <c r="J256" s="16">
        <f t="shared" si="92"/>
        <v>2000</v>
      </c>
    </row>
    <row r="257" spans="1:10" s="10" customFormat="1" x14ac:dyDescent="0.25">
      <c r="A257" s="27" t="s">
        <v>10</v>
      </c>
      <c r="B257" s="14"/>
      <c r="C257" s="49" t="s">
        <v>11</v>
      </c>
      <c r="D257" s="292">
        <f>D258+D262</f>
        <v>1051546</v>
      </c>
      <c r="E257" s="292">
        <f t="shared" ref="E257:H257" si="120">E258+E262</f>
        <v>0</v>
      </c>
      <c r="F257" s="292">
        <f t="shared" si="91"/>
        <v>1051546</v>
      </c>
      <c r="G257" s="292">
        <f t="shared" si="120"/>
        <v>0</v>
      </c>
      <c r="H257" s="292">
        <f t="shared" si="120"/>
        <v>338850</v>
      </c>
      <c r="I257" s="292">
        <f t="shared" si="90"/>
        <v>338850</v>
      </c>
      <c r="J257" s="292">
        <f t="shared" si="92"/>
        <v>1390396</v>
      </c>
    </row>
    <row r="258" spans="1:10" ht="26.25" x14ac:dyDescent="0.25">
      <c r="A258" s="18" t="s">
        <v>12</v>
      </c>
      <c r="B258" s="17"/>
      <c r="C258" s="50" t="s">
        <v>119</v>
      </c>
      <c r="D258" s="288">
        <f>SUM(D259:D261)</f>
        <v>34000</v>
      </c>
      <c r="E258" s="288">
        <f>SUM(E259:E261)</f>
        <v>0</v>
      </c>
      <c r="F258" s="288">
        <f t="shared" si="91"/>
        <v>34000</v>
      </c>
      <c r="G258" s="288">
        <f>G261+SUM(G259:G261)</f>
        <v>0</v>
      </c>
      <c r="H258" s="288">
        <f>H261+SUM(H259:H261)</f>
        <v>34850</v>
      </c>
      <c r="I258" s="288">
        <f t="shared" si="90"/>
        <v>34850</v>
      </c>
      <c r="J258" s="288">
        <f t="shared" si="92"/>
        <v>68850</v>
      </c>
    </row>
    <row r="259" spans="1:10" s="2" customFormat="1" x14ac:dyDescent="0.25">
      <c r="A259" s="18"/>
      <c r="B259" s="9" t="s">
        <v>4</v>
      </c>
      <c r="C259" s="52" t="s">
        <v>5</v>
      </c>
      <c r="D259" s="16"/>
      <c r="E259" s="16">
        <v>0</v>
      </c>
      <c r="F259" s="16">
        <f t="shared" ref="F259:F260" si="121">D259+E259</f>
        <v>0</v>
      </c>
      <c r="G259" s="16"/>
      <c r="H259" s="16">
        <v>27087</v>
      </c>
      <c r="I259" s="16">
        <f t="shared" ref="I259:I260" si="122">SUM(G259:H259)</f>
        <v>27087</v>
      </c>
      <c r="J259" s="16">
        <f t="shared" ref="J259:J260" si="123">I259+F259</f>
        <v>27087</v>
      </c>
    </row>
    <row r="260" spans="1:10" s="2" customFormat="1" x14ac:dyDescent="0.25">
      <c r="A260" s="18"/>
      <c r="B260" s="9" t="s">
        <v>6</v>
      </c>
      <c r="C260" s="52" t="s">
        <v>7</v>
      </c>
      <c r="D260" s="16"/>
      <c r="E260" s="16">
        <v>0</v>
      </c>
      <c r="F260" s="16">
        <f t="shared" si="121"/>
        <v>0</v>
      </c>
      <c r="G260" s="16">
        <v>0</v>
      </c>
      <c r="H260" s="16">
        <v>7763</v>
      </c>
      <c r="I260" s="16">
        <f t="shared" si="122"/>
        <v>7763</v>
      </c>
      <c r="J260" s="16">
        <f t="shared" si="123"/>
        <v>7763</v>
      </c>
    </row>
    <row r="261" spans="1:10" x14ac:dyDescent="0.25">
      <c r="A261" s="15"/>
      <c r="B261" s="9">
        <v>4</v>
      </c>
      <c r="C261" s="52" t="s">
        <v>15</v>
      </c>
      <c r="D261" s="16">
        <v>34000</v>
      </c>
      <c r="E261" s="16">
        <v>0</v>
      </c>
      <c r="F261" s="16">
        <f t="shared" si="91"/>
        <v>34000</v>
      </c>
      <c r="G261" s="16">
        <v>0</v>
      </c>
      <c r="H261" s="16">
        <v>0</v>
      </c>
      <c r="I261" s="16">
        <f t="shared" si="90"/>
        <v>0</v>
      </c>
      <c r="J261" s="16">
        <f t="shared" si="92"/>
        <v>34000</v>
      </c>
    </row>
    <row r="262" spans="1:10" x14ac:dyDescent="0.25">
      <c r="A262" s="18" t="s">
        <v>16</v>
      </c>
      <c r="B262" s="17"/>
      <c r="C262" s="50" t="s">
        <v>114</v>
      </c>
      <c r="D262" s="288">
        <f>SUM(D263:D265)</f>
        <v>1017546</v>
      </c>
      <c r="E262" s="288">
        <f t="shared" ref="E262:H262" si="124">SUM(E263:E265)</f>
        <v>0</v>
      </c>
      <c r="F262" s="288">
        <f t="shared" si="91"/>
        <v>1017546</v>
      </c>
      <c r="G262" s="288">
        <f t="shared" si="124"/>
        <v>0</v>
      </c>
      <c r="H262" s="288">
        <f t="shared" si="124"/>
        <v>304000</v>
      </c>
      <c r="I262" s="288">
        <f t="shared" si="90"/>
        <v>304000</v>
      </c>
      <c r="J262" s="288">
        <f t="shared" si="92"/>
        <v>1321546</v>
      </c>
    </row>
    <row r="263" spans="1:10" x14ac:dyDescent="0.25">
      <c r="A263" s="13"/>
      <c r="B263" s="9" t="s">
        <v>6</v>
      </c>
      <c r="C263" s="52" t="s">
        <v>7</v>
      </c>
      <c r="D263" s="16">
        <v>1012670</v>
      </c>
      <c r="E263" s="16">
        <v>0</v>
      </c>
      <c r="F263" s="16">
        <f t="shared" si="91"/>
        <v>1012670</v>
      </c>
      <c r="G263" s="16">
        <v>0</v>
      </c>
      <c r="H263" s="16">
        <v>304000</v>
      </c>
      <c r="I263" s="16">
        <f t="shared" si="90"/>
        <v>304000</v>
      </c>
      <c r="J263" s="16">
        <f t="shared" si="92"/>
        <v>1316670</v>
      </c>
    </row>
    <row r="264" spans="1:10" x14ac:dyDescent="0.25">
      <c r="A264" s="15"/>
      <c r="B264" s="9" t="s">
        <v>8</v>
      </c>
      <c r="C264" s="52" t="s">
        <v>9</v>
      </c>
      <c r="D264" s="16">
        <v>2000</v>
      </c>
      <c r="E264" s="16">
        <v>0</v>
      </c>
      <c r="F264" s="16">
        <f t="shared" si="91"/>
        <v>2000</v>
      </c>
      <c r="G264" s="16">
        <v>0</v>
      </c>
      <c r="H264" s="16"/>
      <c r="I264" s="16">
        <f t="shared" si="90"/>
        <v>0</v>
      </c>
      <c r="J264" s="16">
        <f t="shared" si="92"/>
        <v>2000</v>
      </c>
    </row>
    <row r="265" spans="1:10" x14ac:dyDescent="0.25">
      <c r="A265" s="15"/>
      <c r="B265" s="9">
        <v>4</v>
      </c>
      <c r="C265" s="52" t="s">
        <v>15</v>
      </c>
      <c r="D265" s="16">
        <v>2876</v>
      </c>
      <c r="E265" s="16">
        <v>0</v>
      </c>
      <c r="F265" s="16">
        <f t="shared" si="91"/>
        <v>2876</v>
      </c>
      <c r="G265" s="16">
        <v>0</v>
      </c>
      <c r="H265" s="16">
        <v>0</v>
      </c>
      <c r="I265" s="16">
        <f t="shared" si="90"/>
        <v>0</v>
      </c>
      <c r="J265" s="16">
        <f t="shared" si="92"/>
        <v>2876</v>
      </c>
    </row>
    <row r="266" spans="1:10" s="10" customFormat="1" x14ac:dyDescent="0.25">
      <c r="A266" s="27" t="s">
        <v>68</v>
      </c>
      <c r="B266" s="14"/>
      <c r="C266" s="49" t="s">
        <v>69</v>
      </c>
      <c r="D266" s="7">
        <f>D267</f>
        <v>190300</v>
      </c>
      <c r="E266" s="7">
        <f t="shared" ref="E266:H266" si="125">E267</f>
        <v>0</v>
      </c>
      <c r="F266" s="7">
        <f t="shared" si="91"/>
        <v>190300</v>
      </c>
      <c r="G266" s="7">
        <f t="shared" si="125"/>
        <v>0</v>
      </c>
      <c r="H266" s="7">
        <f t="shared" si="125"/>
        <v>400000</v>
      </c>
      <c r="I266" s="7">
        <f t="shared" ref="I266:I325" si="126">SUM(G266:H266)</f>
        <v>400000</v>
      </c>
      <c r="J266" s="7">
        <f t="shared" si="92"/>
        <v>590300</v>
      </c>
    </row>
    <row r="267" spans="1:10" ht="26.25" x14ac:dyDescent="0.25">
      <c r="A267" s="18" t="s">
        <v>76</v>
      </c>
      <c r="B267" s="17"/>
      <c r="C267" s="50" t="s">
        <v>154</v>
      </c>
      <c r="D267" s="288">
        <f>SUM(D268:D270)</f>
        <v>190300</v>
      </c>
      <c r="E267" s="288">
        <f t="shared" ref="E267:H267" si="127">SUM(E268:E270)</f>
        <v>0</v>
      </c>
      <c r="F267" s="288">
        <f t="shared" ref="F267:F326" si="128">D267+E267</f>
        <v>190300</v>
      </c>
      <c r="G267" s="288">
        <f t="shared" si="127"/>
        <v>0</v>
      </c>
      <c r="H267" s="288">
        <f t="shared" si="127"/>
        <v>400000</v>
      </c>
      <c r="I267" s="288">
        <f t="shared" si="126"/>
        <v>400000</v>
      </c>
      <c r="J267" s="288">
        <f t="shared" ref="J267:J326" si="129">I267+F267</f>
        <v>590300</v>
      </c>
    </row>
    <row r="268" spans="1:10" x14ac:dyDescent="0.25">
      <c r="A268" s="15"/>
      <c r="B268" s="9" t="s">
        <v>6</v>
      </c>
      <c r="C268" s="52" t="s">
        <v>7</v>
      </c>
      <c r="D268" s="16">
        <v>176000</v>
      </c>
      <c r="E268" s="16">
        <v>0</v>
      </c>
      <c r="F268" s="16">
        <f t="shared" si="128"/>
        <v>176000</v>
      </c>
      <c r="G268" s="16">
        <v>0</v>
      </c>
      <c r="H268" s="16">
        <v>400000</v>
      </c>
      <c r="I268" s="16">
        <f t="shared" si="126"/>
        <v>400000</v>
      </c>
      <c r="J268" s="16">
        <f t="shared" si="129"/>
        <v>576000</v>
      </c>
    </row>
    <row r="269" spans="1:10" x14ac:dyDescent="0.25">
      <c r="A269" s="15"/>
      <c r="B269" s="9" t="s">
        <v>8</v>
      </c>
      <c r="C269" s="52" t="s">
        <v>9</v>
      </c>
      <c r="D269" s="16">
        <v>3000</v>
      </c>
      <c r="E269" s="16">
        <v>0</v>
      </c>
      <c r="F269" s="16">
        <f t="shared" si="128"/>
        <v>3000</v>
      </c>
      <c r="G269" s="16">
        <v>0</v>
      </c>
      <c r="H269" s="16">
        <v>0</v>
      </c>
      <c r="I269" s="16">
        <f t="shared" si="126"/>
        <v>0</v>
      </c>
      <c r="J269" s="16">
        <f t="shared" si="129"/>
        <v>3000</v>
      </c>
    </row>
    <row r="270" spans="1:10" x14ac:dyDescent="0.25">
      <c r="A270" s="15"/>
      <c r="B270" s="9">
        <v>4</v>
      </c>
      <c r="C270" s="52" t="s">
        <v>15</v>
      </c>
      <c r="D270" s="16">
        <v>11300</v>
      </c>
      <c r="E270" s="16">
        <v>0</v>
      </c>
      <c r="F270" s="16">
        <f t="shared" si="128"/>
        <v>11300</v>
      </c>
      <c r="G270" s="16">
        <v>0</v>
      </c>
      <c r="H270" s="16">
        <v>0</v>
      </c>
      <c r="I270" s="16">
        <f t="shared" si="126"/>
        <v>0</v>
      </c>
      <c r="J270" s="16">
        <f t="shared" si="129"/>
        <v>11300</v>
      </c>
    </row>
    <row r="271" spans="1:10" s="10" customFormat="1" x14ac:dyDescent="0.25">
      <c r="A271" s="27" t="s">
        <v>17</v>
      </c>
      <c r="B271" s="14"/>
      <c r="C271" s="49" t="s">
        <v>18</v>
      </c>
      <c r="D271" s="7">
        <f>D272</f>
        <v>25000</v>
      </c>
      <c r="E271" s="7">
        <f t="shared" ref="E271:H272" si="130">E272</f>
        <v>0</v>
      </c>
      <c r="F271" s="7">
        <f t="shared" si="128"/>
        <v>25000</v>
      </c>
      <c r="G271" s="7">
        <f t="shared" si="130"/>
        <v>0</v>
      </c>
      <c r="H271" s="7">
        <f t="shared" si="130"/>
        <v>0</v>
      </c>
      <c r="I271" s="7">
        <f t="shared" si="126"/>
        <v>0</v>
      </c>
      <c r="J271" s="7">
        <f t="shared" si="129"/>
        <v>25000</v>
      </c>
    </row>
    <row r="272" spans="1:10" x14ac:dyDescent="0.25">
      <c r="A272" s="1" t="s">
        <v>50</v>
      </c>
      <c r="B272" s="17"/>
      <c r="C272" s="50" t="s">
        <v>134</v>
      </c>
      <c r="D272" s="288">
        <f>D273</f>
        <v>25000</v>
      </c>
      <c r="E272" s="288">
        <f t="shared" si="130"/>
        <v>0</v>
      </c>
      <c r="F272" s="288">
        <f t="shared" si="128"/>
        <v>25000</v>
      </c>
      <c r="G272" s="288">
        <f t="shared" si="130"/>
        <v>0</v>
      </c>
      <c r="H272" s="288">
        <f t="shared" si="130"/>
        <v>0</v>
      </c>
      <c r="I272" s="288">
        <f t="shared" si="126"/>
        <v>0</v>
      </c>
      <c r="J272" s="288">
        <f t="shared" si="129"/>
        <v>25000</v>
      </c>
    </row>
    <row r="273" spans="1:10" x14ac:dyDescent="0.25">
      <c r="A273" s="15"/>
      <c r="B273" s="9" t="s">
        <v>6</v>
      </c>
      <c r="C273" s="52" t="s">
        <v>7</v>
      </c>
      <c r="D273" s="16">
        <v>25000</v>
      </c>
      <c r="E273" s="16">
        <v>0</v>
      </c>
      <c r="F273" s="16">
        <f t="shared" si="128"/>
        <v>25000</v>
      </c>
      <c r="G273" s="16">
        <v>0</v>
      </c>
      <c r="H273" s="16">
        <v>0</v>
      </c>
      <c r="I273" s="16">
        <f t="shared" si="126"/>
        <v>0</v>
      </c>
      <c r="J273" s="16">
        <f t="shared" si="129"/>
        <v>25000</v>
      </c>
    </row>
    <row r="274" spans="1:10" s="10" customFormat="1" x14ac:dyDescent="0.25">
      <c r="A274" s="27" t="s">
        <v>26</v>
      </c>
      <c r="B274" s="14"/>
      <c r="C274" s="49" t="s">
        <v>27</v>
      </c>
      <c r="D274" s="7">
        <f>D275</f>
        <v>590000</v>
      </c>
      <c r="E274" s="7">
        <f t="shared" ref="E274:H275" si="131">E275</f>
        <v>0</v>
      </c>
      <c r="F274" s="7">
        <f t="shared" si="128"/>
        <v>590000</v>
      </c>
      <c r="G274" s="7">
        <f t="shared" si="131"/>
        <v>0</v>
      </c>
      <c r="H274" s="7">
        <f t="shared" si="131"/>
        <v>3000</v>
      </c>
      <c r="I274" s="7">
        <f t="shared" si="126"/>
        <v>3000</v>
      </c>
      <c r="J274" s="7">
        <f t="shared" si="129"/>
        <v>593000</v>
      </c>
    </row>
    <row r="275" spans="1:10" x14ac:dyDescent="0.25">
      <c r="A275" s="18" t="s">
        <v>28</v>
      </c>
      <c r="B275" s="17"/>
      <c r="C275" s="50" t="s">
        <v>121</v>
      </c>
      <c r="D275" s="288">
        <f>D276</f>
        <v>590000</v>
      </c>
      <c r="E275" s="288">
        <f t="shared" si="131"/>
        <v>0</v>
      </c>
      <c r="F275" s="288">
        <f t="shared" si="128"/>
        <v>590000</v>
      </c>
      <c r="G275" s="288">
        <f t="shared" si="131"/>
        <v>0</v>
      </c>
      <c r="H275" s="288">
        <f t="shared" si="131"/>
        <v>3000</v>
      </c>
      <c r="I275" s="288">
        <f t="shared" si="126"/>
        <v>3000</v>
      </c>
      <c r="J275" s="288">
        <f t="shared" si="129"/>
        <v>593000</v>
      </c>
    </row>
    <row r="276" spans="1:10" x14ac:dyDescent="0.25">
      <c r="A276" s="15"/>
      <c r="B276" s="9" t="s">
        <v>6</v>
      </c>
      <c r="C276" s="52" t="s">
        <v>7</v>
      </c>
      <c r="D276" s="16">
        <v>590000</v>
      </c>
      <c r="E276" s="16">
        <v>0</v>
      </c>
      <c r="F276" s="16">
        <f t="shared" si="128"/>
        <v>590000</v>
      </c>
      <c r="G276" s="16">
        <v>0</v>
      </c>
      <c r="H276" s="16">
        <v>3000</v>
      </c>
      <c r="I276" s="16">
        <f t="shared" si="126"/>
        <v>3000</v>
      </c>
      <c r="J276" s="16">
        <f t="shared" si="129"/>
        <v>593000</v>
      </c>
    </row>
    <row r="277" spans="1:10" s="10" customFormat="1" x14ac:dyDescent="0.25">
      <c r="A277" s="27" t="s">
        <v>56</v>
      </c>
      <c r="B277" s="14"/>
      <c r="C277" s="49" t="s">
        <v>57</v>
      </c>
      <c r="D277" s="7">
        <f>D278</f>
        <v>4000</v>
      </c>
      <c r="E277" s="7">
        <f t="shared" ref="E277:H278" si="132">E278</f>
        <v>0</v>
      </c>
      <c r="F277" s="7">
        <f t="shared" si="128"/>
        <v>4000</v>
      </c>
      <c r="G277" s="7">
        <f t="shared" si="132"/>
        <v>0</v>
      </c>
      <c r="H277" s="7">
        <f t="shared" si="132"/>
        <v>0</v>
      </c>
      <c r="I277" s="7">
        <f t="shared" si="126"/>
        <v>0</v>
      </c>
      <c r="J277" s="7">
        <f t="shared" si="129"/>
        <v>4000</v>
      </c>
    </row>
    <row r="278" spans="1:10" x14ac:dyDescent="0.25">
      <c r="A278" s="18" t="s">
        <v>58</v>
      </c>
      <c r="B278" s="17"/>
      <c r="C278" s="50" t="s">
        <v>138</v>
      </c>
      <c r="D278" s="288">
        <f>D279</f>
        <v>4000</v>
      </c>
      <c r="E278" s="288">
        <f t="shared" si="132"/>
        <v>0</v>
      </c>
      <c r="F278" s="288">
        <f t="shared" si="128"/>
        <v>4000</v>
      </c>
      <c r="G278" s="288">
        <f t="shared" si="132"/>
        <v>0</v>
      </c>
      <c r="H278" s="288">
        <f t="shared" si="132"/>
        <v>0</v>
      </c>
      <c r="I278" s="288">
        <f t="shared" si="126"/>
        <v>0</v>
      </c>
      <c r="J278" s="288">
        <f t="shared" si="129"/>
        <v>4000</v>
      </c>
    </row>
    <row r="279" spans="1:10" x14ac:dyDescent="0.25">
      <c r="A279" s="15"/>
      <c r="B279" s="9" t="s">
        <v>6</v>
      </c>
      <c r="C279" s="52" t="s">
        <v>7</v>
      </c>
      <c r="D279" s="16">
        <v>4000</v>
      </c>
      <c r="E279" s="16">
        <v>0</v>
      </c>
      <c r="F279" s="16">
        <f t="shared" si="128"/>
        <v>4000</v>
      </c>
      <c r="G279" s="16">
        <v>0</v>
      </c>
      <c r="H279" s="16">
        <v>0</v>
      </c>
      <c r="I279" s="16">
        <f t="shared" si="126"/>
        <v>0</v>
      </c>
      <c r="J279" s="16">
        <f t="shared" si="129"/>
        <v>4000</v>
      </c>
    </row>
    <row r="280" spans="1:10" x14ac:dyDescent="0.25">
      <c r="A280" s="8" t="s">
        <v>77</v>
      </c>
      <c r="B280" s="5"/>
      <c r="C280" s="53"/>
      <c r="D280" s="3">
        <f>D281+D295+D300+D311+D314</f>
        <v>2660410</v>
      </c>
      <c r="E280" s="3">
        <f>E281+E295+E300+E311+E314</f>
        <v>8960</v>
      </c>
      <c r="F280" s="7">
        <f t="shared" si="128"/>
        <v>2669370</v>
      </c>
      <c r="G280" s="3">
        <f>G281+G295+G300+G311+G314</f>
        <v>0</v>
      </c>
      <c r="H280" s="3">
        <f>H281+H295+H300+H311+H314</f>
        <v>0</v>
      </c>
      <c r="I280" s="16">
        <f t="shared" si="126"/>
        <v>0</v>
      </c>
      <c r="J280" s="7">
        <f t="shared" si="129"/>
        <v>2669370</v>
      </c>
    </row>
    <row r="281" spans="1:10" s="10" customFormat="1" x14ac:dyDescent="0.25">
      <c r="A281" s="27" t="s">
        <v>1</v>
      </c>
      <c r="B281" s="14"/>
      <c r="C281" s="49" t="s">
        <v>2</v>
      </c>
      <c r="D281" s="7">
        <f>D282+D286+D288+D290+D293</f>
        <v>2178468</v>
      </c>
      <c r="E281" s="7">
        <f t="shared" ref="E281:H281" si="133">E282+E286+E288+E290+E293</f>
        <v>8960</v>
      </c>
      <c r="F281" s="7">
        <f t="shared" si="128"/>
        <v>2187428</v>
      </c>
      <c r="G281" s="7">
        <f t="shared" si="133"/>
        <v>0</v>
      </c>
      <c r="H281" s="7">
        <f t="shared" si="133"/>
        <v>0</v>
      </c>
      <c r="I281" s="7">
        <f t="shared" si="126"/>
        <v>0</v>
      </c>
      <c r="J281" s="7">
        <f t="shared" si="129"/>
        <v>2187428</v>
      </c>
    </row>
    <row r="282" spans="1:10" x14ac:dyDescent="0.25">
      <c r="A282" s="18" t="s">
        <v>3</v>
      </c>
      <c r="B282" s="17"/>
      <c r="C282" s="50" t="s">
        <v>112</v>
      </c>
      <c r="D282" s="288">
        <f>SUM(D283:D285)</f>
        <v>1090596</v>
      </c>
      <c r="E282" s="288">
        <f>SUM(E283:E285)</f>
        <v>0</v>
      </c>
      <c r="F282" s="288">
        <f t="shared" si="128"/>
        <v>1090596</v>
      </c>
      <c r="G282" s="288">
        <f>SUM(G283:G285)</f>
        <v>0</v>
      </c>
      <c r="H282" s="288">
        <f>SUM(H283:H285)</f>
        <v>0</v>
      </c>
      <c r="I282" s="288">
        <f t="shared" si="126"/>
        <v>0</v>
      </c>
      <c r="J282" s="288">
        <f t="shared" si="129"/>
        <v>1090596</v>
      </c>
    </row>
    <row r="283" spans="1:10" x14ac:dyDescent="0.25">
      <c r="A283" s="18"/>
      <c r="B283" s="9" t="s">
        <v>4</v>
      </c>
      <c r="C283" s="52" t="s">
        <v>5</v>
      </c>
      <c r="D283" s="16">
        <v>1036596</v>
      </c>
      <c r="E283" s="16">
        <v>0</v>
      </c>
      <c r="F283" s="16">
        <f t="shared" si="128"/>
        <v>1036596</v>
      </c>
      <c r="G283" s="16">
        <v>0</v>
      </c>
      <c r="H283" s="16">
        <v>0</v>
      </c>
      <c r="I283" s="16">
        <f t="shared" si="126"/>
        <v>0</v>
      </c>
      <c r="J283" s="16">
        <f t="shared" si="129"/>
        <v>1036596</v>
      </c>
    </row>
    <row r="284" spans="1:10" x14ac:dyDescent="0.25">
      <c r="A284" s="18"/>
      <c r="B284" s="9" t="s">
        <v>6</v>
      </c>
      <c r="C284" s="52" t="s">
        <v>7</v>
      </c>
      <c r="D284" s="16">
        <v>53800</v>
      </c>
      <c r="E284" s="16">
        <v>0</v>
      </c>
      <c r="F284" s="16">
        <f t="shared" si="128"/>
        <v>53800</v>
      </c>
      <c r="G284" s="16">
        <v>0</v>
      </c>
      <c r="H284" s="16">
        <v>0</v>
      </c>
      <c r="I284" s="16">
        <f t="shared" si="126"/>
        <v>0</v>
      </c>
      <c r="J284" s="16">
        <f t="shared" si="129"/>
        <v>53800</v>
      </c>
    </row>
    <row r="285" spans="1:10" s="2" customFormat="1" x14ac:dyDescent="0.25">
      <c r="A285" s="18"/>
      <c r="B285" s="9" t="s">
        <v>8</v>
      </c>
      <c r="C285" s="52" t="s">
        <v>9</v>
      </c>
      <c r="D285" s="16">
        <v>200</v>
      </c>
      <c r="E285" s="16">
        <v>0</v>
      </c>
      <c r="F285" s="16">
        <f t="shared" ref="F285" si="134">D285+E285</f>
        <v>200</v>
      </c>
      <c r="G285" s="16">
        <v>0</v>
      </c>
      <c r="H285" s="16">
        <v>0</v>
      </c>
      <c r="I285" s="16">
        <f t="shared" ref="I285" si="135">SUM(G285:H285)</f>
        <v>0</v>
      </c>
      <c r="J285" s="16">
        <f t="shared" ref="J285" si="136">I285+F285</f>
        <v>200</v>
      </c>
    </row>
    <row r="286" spans="1:10" x14ac:dyDescent="0.25">
      <c r="A286" s="18" t="s">
        <v>78</v>
      </c>
      <c r="B286" s="17"/>
      <c r="C286" s="50" t="s">
        <v>155</v>
      </c>
      <c r="D286" s="288">
        <f>D287</f>
        <v>500000</v>
      </c>
      <c r="E286" s="288">
        <f t="shared" ref="E286:H286" si="137">E287</f>
        <v>0</v>
      </c>
      <c r="F286" s="288">
        <f t="shared" si="128"/>
        <v>500000</v>
      </c>
      <c r="G286" s="288">
        <f t="shared" si="137"/>
        <v>0</v>
      </c>
      <c r="H286" s="288">
        <f t="shared" si="137"/>
        <v>0</v>
      </c>
      <c r="I286" s="288">
        <f t="shared" si="126"/>
        <v>0</v>
      </c>
      <c r="J286" s="288">
        <f t="shared" si="129"/>
        <v>500000</v>
      </c>
    </row>
    <row r="287" spans="1:10" x14ac:dyDescent="0.25">
      <c r="A287" s="18"/>
      <c r="B287" s="9" t="s">
        <v>8</v>
      </c>
      <c r="C287" s="52" t="s">
        <v>9</v>
      </c>
      <c r="D287" s="16">
        <v>500000</v>
      </c>
      <c r="E287" s="16">
        <v>0</v>
      </c>
      <c r="F287" s="16">
        <f t="shared" si="128"/>
        <v>500000</v>
      </c>
      <c r="G287" s="16">
        <v>0</v>
      </c>
      <c r="H287" s="16">
        <v>0</v>
      </c>
      <c r="I287" s="16">
        <f t="shared" si="126"/>
        <v>0</v>
      </c>
      <c r="J287" s="16">
        <f t="shared" si="129"/>
        <v>500000</v>
      </c>
    </row>
    <row r="288" spans="1:10" ht="26.25" x14ac:dyDescent="0.25">
      <c r="A288" s="18" t="s">
        <v>79</v>
      </c>
      <c r="B288" s="17"/>
      <c r="C288" s="50" t="s">
        <v>156</v>
      </c>
      <c r="D288" s="16">
        <f>D289</f>
        <v>0</v>
      </c>
      <c r="E288" s="16">
        <f t="shared" ref="E288:H288" si="138">E289</f>
        <v>8960</v>
      </c>
      <c r="F288" s="16">
        <f t="shared" si="128"/>
        <v>8960</v>
      </c>
      <c r="G288" s="16">
        <f t="shared" si="138"/>
        <v>0</v>
      </c>
      <c r="H288" s="16">
        <f t="shared" si="138"/>
        <v>0</v>
      </c>
      <c r="I288" s="16">
        <f t="shared" si="126"/>
        <v>0</v>
      </c>
      <c r="J288" s="16">
        <f t="shared" si="129"/>
        <v>8960</v>
      </c>
    </row>
    <row r="289" spans="1:10" x14ac:dyDescent="0.25">
      <c r="A289" s="18"/>
      <c r="B289" s="9" t="s">
        <v>4</v>
      </c>
      <c r="C289" s="52" t="s">
        <v>5</v>
      </c>
      <c r="D289" s="16">
        <v>0</v>
      </c>
      <c r="E289" s="16">
        <v>8960</v>
      </c>
      <c r="F289" s="16">
        <f t="shared" si="128"/>
        <v>8960</v>
      </c>
      <c r="G289" s="16">
        <v>0</v>
      </c>
      <c r="H289" s="16">
        <v>0</v>
      </c>
      <c r="I289" s="16">
        <f t="shared" si="126"/>
        <v>0</v>
      </c>
      <c r="J289" s="16">
        <f t="shared" si="129"/>
        <v>8960</v>
      </c>
    </row>
    <row r="290" spans="1:10" x14ac:dyDescent="0.25">
      <c r="A290" s="18" t="s">
        <v>73</v>
      </c>
      <c r="B290" s="17"/>
      <c r="C290" s="50" t="s">
        <v>151</v>
      </c>
      <c r="D290" s="288">
        <f>D291+D292</f>
        <v>100300</v>
      </c>
      <c r="E290" s="288">
        <f>E291+E292</f>
        <v>0</v>
      </c>
      <c r="F290" s="288">
        <f t="shared" si="128"/>
        <v>100300</v>
      </c>
      <c r="G290" s="288">
        <f>G291+G292</f>
        <v>0</v>
      </c>
      <c r="H290" s="288">
        <f>H291+H292</f>
        <v>0</v>
      </c>
      <c r="I290" s="288">
        <f t="shared" si="126"/>
        <v>0</v>
      </c>
      <c r="J290" s="288">
        <f t="shared" si="129"/>
        <v>100300</v>
      </c>
    </row>
    <row r="291" spans="1:10" x14ac:dyDescent="0.25">
      <c r="A291" s="18"/>
      <c r="B291" s="9" t="s">
        <v>6</v>
      </c>
      <c r="C291" s="52" t="s">
        <v>7</v>
      </c>
      <c r="D291" s="16">
        <v>99300</v>
      </c>
      <c r="E291" s="16">
        <v>0</v>
      </c>
      <c r="F291" s="16">
        <f t="shared" si="128"/>
        <v>99300</v>
      </c>
      <c r="G291" s="16">
        <v>0</v>
      </c>
      <c r="H291" s="16">
        <v>0</v>
      </c>
      <c r="I291" s="16">
        <f t="shared" si="126"/>
        <v>0</v>
      </c>
      <c r="J291" s="16">
        <f t="shared" si="129"/>
        <v>99300</v>
      </c>
    </row>
    <row r="292" spans="1:10" s="2" customFormat="1" x14ac:dyDescent="0.25">
      <c r="A292" s="18"/>
      <c r="B292" s="9" t="s">
        <v>8</v>
      </c>
      <c r="C292" s="52" t="s">
        <v>9</v>
      </c>
      <c r="D292" s="16">
        <v>1000</v>
      </c>
      <c r="E292" s="16">
        <v>0</v>
      </c>
      <c r="F292" s="16">
        <f t="shared" ref="F292" si="139">D292+E292</f>
        <v>1000</v>
      </c>
      <c r="G292" s="16">
        <v>0</v>
      </c>
      <c r="H292" s="16">
        <v>0</v>
      </c>
      <c r="I292" s="16">
        <f t="shared" ref="I292" si="140">SUM(G292:H292)</f>
        <v>0</v>
      </c>
      <c r="J292" s="16">
        <f t="shared" ref="J292" si="141">I292+F292</f>
        <v>1000</v>
      </c>
    </row>
    <row r="293" spans="1:10" x14ac:dyDescent="0.25">
      <c r="A293" s="18" t="s">
        <v>21</v>
      </c>
      <c r="B293" s="17"/>
      <c r="C293" s="50" t="s">
        <v>116</v>
      </c>
      <c r="D293" s="288">
        <f>D294</f>
        <v>487572</v>
      </c>
      <c r="E293" s="288">
        <f t="shared" ref="E293:H293" si="142">E294</f>
        <v>0</v>
      </c>
      <c r="F293" s="288">
        <f t="shared" si="128"/>
        <v>487572</v>
      </c>
      <c r="G293" s="288">
        <f t="shared" si="142"/>
        <v>0</v>
      </c>
      <c r="H293" s="288">
        <f t="shared" si="142"/>
        <v>0</v>
      </c>
      <c r="I293" s="288">
        <f t="shared" si="126"/>
        <v>0</v>
      </c>
      <c r="J293" s="288">
        <f t="shared" si="129"/>
        <v>487572</v>
      </c>
    </row>
    <row r="294" spans="1:10" x14ac:dyDescent="0.25">
      <c r="A294" s="15"/>
      <c r="B294" s="9" t="s">
        <v>4</v>
      </c>
      <c r="C294" s="52" t="s">
        <v>5</v>
      </c>
      <c r="D294" s="16">
        <v>487572</v>
      </c>
      <c r="E294" s="16">
        <v>0</v>
      </c>
      <c r="F294" s="16">
        <f t="shared" si="128"/>
        <v>487572</v>
      </c>
      <c r="G294" s="16">
        <v>0</v>
      </c>
      <c r="H294" s="16">
        <v>0</v>
      </c>
      <c r="I294" s="16">
        <f t="shared" si="126"/>
        <v>0</v>
      </c>
      <c r="J294" s="16">
        <f t="shared" si="129"/>
        <v>487572</v>
      </c>
    </row>
    <row r="295" spans="1:10" s="10" customFormat="1" x14ac:dyDescent="0.25">
      <c r="A295" s="27" t="s">
        <v>53</v>
      </c>
      <c r="B295" s="14"/>
      <c r="C295" s="49" t="s">
        <v>54</v>
      </c>
      <c r="D295" s="7">
        <f>D296+D298</f>
        <v>47060</v>
      </c>
      <c r="E295" s="7">
        <f t="shared" ref="E295:H295" si="143">E296+E298</f>
        <v>0</v>
      </c>
      <c r="F295" s="7">
        <f t="shared" si="128"/>
        <v>47060</v>
      </c>
      <c r="G295" s="7">
        <f t="shared" si="143"/>
        <v>0</v>
      </c>
      <c r="H295" s="7">
        <f t="shared" si="143"/>
        <v>0</v>
      </c>
      <c r="I295" s="7">
        <f t="shared" si="126"/>
        <v>0</v>
      </c>
      <c r="J295" s="7">
        <f t="shared" si="129"/>
        <v>47060</v>
      </c>
    </row>
    <row r="296" spans="1:10" x14ac:dyDescent="0.25">
      <c r="A296" s="18" t="s">
        <v>80</v>
      </c>
      <c r="B296" s="17"/>
      <c r="C296" s="50" t="s">
        <v>157</v>
      </c>
      <c r="D296" s="288">
        <f>D297</f>
        <v>36000</v>
      </c>
      <c r="E296" s="288">
        <f t="shared" ref="E296:H296" si="144">E297</f>
        <v>0</v>
      </c>
      <c r="F296" s="288">
        <f t="shared" si="128"/>
        <v>36000</v>
      </c>
      <c r="G296" s="288">
        <f t="shared" si="144"/>
        <v>0</v>
      </c>
      <c r="H296" s="288">
        <f t="shared" si="144"/>
        <v>0</v>
      </c>
      <c r="I296" s="288">
        <f t="shared" si="126"/>
        <v>0</v>
      </c>
      <c r="J296" s="288">
        <f t="shared" si="129"/>
        <v>36000</v>
      </c>
    </row>
    <row r="297" spans="1:10" x14ac:dyDescent="0.25">
      <c r="A297" s="18"/>
      <c r="B297" s="9">
        <v>4</v>
      </c>
      <c r="C297" s="52" t="s">
        <v>15</v>
      </c>
      <c r="D297" s="16">
        <v>36000</v>
      </c>
      <c r="E297" s="16">
        <v>0</v>
      </c>
      <c r="F297" s="16">
        <f t="shared" si="128"/>
        <v>36000</v>
      </c>
      <c r="G297" s="16">
        <v>0</v>
      </c>
      <c r="H297" s="16">
        <v>0</v>
      </c>
      <c r="I297" s="16">
        <f t="shared" si="126"/>
        <v>0</v>
      </c>
      <c r="J297" s="16">
        <f t="shared" si="129"/>
        <v>36000</v>
      </c>
    </row>
    <row r="298" spans="1:10" x14ac:dyDescent="0.25">
      <c r="A298" s="18" t="s">
        <v>55</v>
      </c>
      <c r="B298" s="17"/>
      <c r="C298" s="50" t="s">
        <v>137</v>
      </c>
      <c r="D298" s="288">
        <f>D299</f>
        <v>11060</v>
      </c>
      <c r="E298" s="288">
        <f t="shared" ref="E298:H298" si="145">E299</f>
        <v>0</v>
      </c>
      <c r="F298" s="288">
        <f t="shared" si="128"/>
        <v>11060</v>
      </c>
      <c r="G298" s="288">
        <f t="shared" si="145"/>
        <v>0</v>
      </c>
      <c r="H298" s="288">
        <f t="shared" si="145"/>
        <v>0</v>
      </c>
      <c r="I298" s="288">
        <f t="shared" si="126"/>
        <v>0</v>
      </c>
      <c r="J298" s="288">
        <f t="shared" si="129"/>
        <v>11060</v>
      </c>
    </row>
    <row r="299" spans="1:10" x14ac:dyDescent="0.25">
      <c r="A299" s="15"/>
      <c r="B299" s="9">
        <v>4</v>
      </c>
      <c r="C299" s="52" t="s">
        <v>15</v>
      </c>
      <c r="D299" s="16">
        <v>11060</v>
      </c>
      <c r="E299" s="16">
        <v>0</v>
      </c>
      <c r="F299" s="16">
        <f t="shared" si="128"/>
        <v>11060</v>
      </c>
      <c r="G299" s="16">
        <v>0</v>
      </c>
      <c r="H299" s="16">
        <v>0</v>
      </c>
      <c r="I299" s="16">
        <f t="shared" si="126"/>
        <v>0</v>
      </c>
      <c r="J299" s="16">
        <f t="shared" si="129"/>
        <v>11060</v>
      </c>
    </row>
    <row r="300" spans="1:10" s="10" customFormat="1" x14ac:dyDescent="0.25">
      <c r="A300" s="27" t="s">
        <v>17</v>
      </c>
      <c r="B300" s="14"/>
      <c r="C300" s="49" t="s">
        <v>18</v>
      </c>
      <c r="D300" s="7">
        <f>D301+D303+D305+D307+D309</f>
        <v>352500</v>
      </c>
      <c r="E300" s="7">
        <f t="shared" ref="E300:H300" si="146">E301+E303+E305+E307+E309</f>
        <v>0</v>
      </c>
      <c r="F300" s="7">
        <f t="shared" si="128"/>
        <v>352500</v>
      </c>
      <c r="G300" s="7">
        <f t="shared" si="146"/>
        <v>0</v>
      </c>
      <c r="H300" s="7">
        <f t="shared" si="146"/>
        <v>0</v>
      </c>
      <c r="I300" s="7">
        <f t="shared" si="126"/>
        <v>0</v>
      </c>
      <c r="J300" s="7">
        <f t="shared" si="129"/>
        <v>352500</v>
      </c>
    </row>
    <row r="301" spans="1:10" x14ac:dyDescent="0.25">
      <c r="A301" s="18" t="s">
        <v>42</v>
      </c>
      <c r="B301" s="17"/>
      <c r="C301" s="50" t="s">
        <v>129</v>
      </c>
      <c r="D301" s="288">
        <f>D302</f>
        <v>184000</v>
      </c>
      <c r="E301" s="288">
        <f t="shared" ref="E301:H301" si="147">E302</f>
        <v>0</v>
      </c>
      <c r="F301" s="288">
        <f t="shared" si="128"/>
        <v>184000</v>
      </c>
      <c r="G301" s="288">
        <f t="shared" si="147"/>
        <v>0</v>
      </c>
      <c r="H301" s="288">
        <f t="shared" si="147"/>
        <v>0</v>
      </c>
      <c r="I301" s="288">
        <f t="shared" si="126"/>
        <v>0</v>
      </c>
      <c r="J301" s="288">
        <f t="shared" si="129"/>
        <v>184000</v>
      </c>
    </row>
    <row r="302" spans="1:10" x14ac:dyDescent="0.25">
      <c r="A302" s="18"/>
      <c r="B302" s="9">
        <v>4</v>
      </c>
      <c r="C302" s="52" t="s">
        <v>15</v>
      </c>
      <c r="D302" s="16">
        <v>184000</v>
      </c>
      <c r="E302" s="16">
        <v>0</v>
      </c>
      <c r="F302" s="16">
        <f t="shared" si="128"/>
        <v>184000</v>
      </c>
      <c r="G302" s="16">
        <v>0</v>
      </c>
      <c r="H302" s="16">
        <v>0</v>
      </c>
      <c r="I302" s="16">
        <f t="shared" si="126"/>
        <v>0</v>
      </c>
      <c r="J302" s="16">
        <f t="shared" si="129"/>
        <v>184000</v>
      </c>
    </row>
    <row r="303" spans="1:10" x14ac:dyDescent="0.25">
      <c r="A303" s="18" t="s">
        <v>46</v>
      </c>
      <c r="B303" s="17"/>
      <c r="C303" s="50" t="s">
        <v>131</v>
      </c>
      <c r="D303" s="288">
        <f>D304</f>
        <v>32000</v>
      </c>
      <c r="E303" s="288">
        <f t="shared" ref="E303:H303" si="148">E304</f>
        <v>0</v>
      </c>
      <c r="F303" s="288">
        <f t="shared" si="128"/>
        <v>32000</v>
      </c>
      <c r="G303" s="288">
        <f t="shared" si="148"/>
        <v>0</v>
      </c>
      <c r="H303" s="288">
        <f t="shared" si="148"/>
        <v>0</v>
      </c>
      <c r="I303" s="288">
        <f t="shared" si="126"/>
        <v>0</v>
      </c>
      <c r="J303" s="288">
        <f t="shared" si="129"/>
        <v>32000</v>
      </c>
    </row>
    <row r="304" spans="1:10" x14ac:dyDescent="0.25">
      <c r="A304" s="18"/>
      <c r="B304" s="9">
        <v>4</v>
      </c>
      <c r="C304" s="52" t="s">
        <v>15</v>
      </c>
      <c r="D304" s="16">
        <v>32000</v>
      </c>
      <c r="E304" s="16">
        <v>0</v>
      </c>
      <c r="F304" s="16">
        <f t="shared" si="128"/>
        <v>32000</v>
      </c>
      <c r="G304" s="16">
        <v>0</v>
      </c>
      <c r="H304" s="16">
        <v>0</v>
      </c>
      <c r="I304" s="16">
        <f t="shared" si="126"/>
        <v>0</v>
      </c>
      <c r="J304" s="16">
        <f t="shared" si="129"/>
        <v>32000</v>
      </c>
    </row>
    <row r="305" spans="1:11" x14ac:dyDescent="0.25">
      <c r="A305" s="18" t="s">
        <v>81</v>
      </c>
      <c r="B305" s="17"/>
      <c r="C305" s="50" t="s">
        <v>158</v>
      </c>
      <c r="D305" s="288">
        <f>D306</f>
        <v>20000</v>
      </c>
      <c r="E305" s="288">
        <f t="shared" ref="E305:H305" si="149">E306</f>
        <v>0</v>
      </c>
      <c r="F305" s="288">
        <f t="shared" si="128"/>
        <v>20000</v>
      </c>
      <c r="G305" s="288">
        <f t="shared" si="149"/>
        <v>0</v>
      </c>
      <c r="H305" s="288">
        <f t="shared" si="149"/>
        <v>0</v>
      </c>
      <c r="I305" s="288">
        <f t="shared" si="126"/>
        <v>0</v>
      </c>
      <c r="J305" s="288">
        <f t="shared" si="129"/>
        <v>20000</v>
      </c>
      <c r="K305" s="289"/>
    </row>
    <row r="306" spans="1:11" x14ac:dyDescent="0.25">
      <c r="A306" s="18"/>
      <c r="B306" s="9">
        <v>4</v>
      </c>
      <c r="C306" s="52" t="s">
        <v>15</v>
      </c>
      <c r="D306" s="16">
        <v>20000</v>
      </c>
      <c r="E306" s="16">
        <v>0</v>
      </c>
      <c r="F306" s="16">
        <f t="shared" si="128"/>
        <v>20000</v>
      </c>
      <c r="G306" s="16">
        <v>0</v>
      </c>
      <c r="H306" s="16">
        <v>0</v>
      </c>
      <c r="I306" s="16">
        <f t="shared" si="126"/>
        <v>0</v>
      </c>
      <c r="J306" s="16">
        <f t="shared" si="129"/>
        <v>20000</v>
      </c>
    </row>
    <row r="307" spans="1:11" x14ac:dyDescent="0.25">
      <c r="A307" s="18" t="s">
        <v>48</v>
      </c>
      <c r="B307" s="17"/>
      <c r="C307" s="50" t="s">
        <v>132</v>
      </c>
      <c r="D307" s="288">
        <f>D308</f>
        <v>94000</v>
      </c>
      <c r="E307" s="288">
        <f t="shared" ref="E307:H307" si="150">E308</f>
        <v>0</v>
      </c>
      <c r="F307" s="288">
        <f t="shared" si="128"/>
        <v>94000</v>
      </c>
      <c r="G307" s="288">
        <f t="shared" si="150"/>
        <v>0</v>
      </c>
      <c r="H307" s="288">
        <f t="shared" si="150"/>
        <v>0</v>
      </c>
      <c r="I307" s="288">
        <f t="shared" si="126"/>
        <v>0</v>
      </c>
      <c r="J307" s="288">
        <f t="shared" si="129"/>
        <v>94000</v>
      </c>
    </row>
    <row r="308" spans="1:11" x14ac:dyDescent="0.25">
      <c r="A308" s="18"/>
      <c r="B308" s="9">
        <v>4</v>
      </c>
      <c r="C308" s="52" t="s">
        <v>15</v>
      </c>
      <c r="D308" s="16">
        <v>94000</v>
      </c>
      <c r="E308" s="16">
        <v>0</v>
      </c>
      <c r="F308" s="16">
        <f t="shared" si="128"/>
        <v>94000</v>
      </c>
      <c r="G308" s="16">
        <v>0</v>
      </c>
      <c r="H308" s="16">
        <v>0</v>
      </c>
      <c r="I308" s="16">
        <f t="shared" si="126"/>
        <v>0</v>
      </c>
      <c r="J308" s="16">
        <f t="shared" si="129"/>
        <v>94000</v>
      </c>
    </row>
    <row r="309" spans="1:11" x14ac:dyDescent="0.25">
      <c r="A309" s="18" t="s">
        <v>82</v>
      </c>
      <c r="B309" s="17"/>
      <c r="C309" s="50" t="s">
        <v>159</v>
      </c>
      <c r="D309" s="288">
        <f>D310</f>
        <v>22500</v>
      </c>
      <c r="E309" s="288">
        <f t="shared" ref="E309:H309" si="151">E310</f>
        <v>0</v>
      </c>
      <c r="F309" s="288">
        <f t="shared" si="128"/>
        <v>22500</v>
      </c>
      <c r="G309" s="288">
        <f t="shared" si="151"/>
        <v>0</v>
      </c>
      <c r="H309" s="288">
        <f t="shared" si="151"/>
        <v>0</v>
      </c>
      <c r="I309" s="288">
        <f t="shared" si="126"/>
        <v>0</v>
      </c>
      <c r="J309" s="288">
        <f t="shared" si="129"/>
        <v>22500</v>
      </c>
    </row>
    <row r="310" spans="1:11" x14ac:dyDescent="0.25">
      <c r="A310" s="18"/>
      <c r="B310" s="9">
        <v>4</v>
      </c>
      <c r="C310" s="52" t="s">
        <v>15</v>
      </c>
      <c r="D310" s="16">
        <v>22500</v>
      </c>
      <c r="E310" s="16">
        <v>0</v>
      </c>
      <c r="F310" s="16">
        <f t="shared" si="128"/>
        <v>22500</v>
      </c>
      <c r="G310" s="16">
        <v>0</v>
      </c>
      <c r="H310" s="16">
        <v>0</v>
      </c>
      <c r="I310" s="16">
        <f t="shared" si="126"/>
        <v>0</v>
      </c>
      <c r="J310" s="16">
        <f t="shared" si="129"/>
        <v>22500</v>
      </c>
    </row>
    <row r="311" spans="1:11" s="10" customFormat="1" x14ac:dyDescent="0.25">
      <c r="A311" s="27" t="s">
        <v>26</v>
      </c>
      <c r="B311" s="14"/>
      <c r="C311" s="49" t="s">
        <v>27</v>
      </c>
      <c r="D311" s="7">
        <f>D312</f>
        <v>30882</v>
      </c>
      <c r="E311" s="7">
        <f>E312</f>
        <v>0</v>
      </c>
      <c r="F311" s="7">
        <f t="shared" si="128"/>
        <v>30882</v>
      </c>
      <c r="G311" s="7">
        <f>G312</f>
        <v>0</v>
      </c>
      <c r="H311" s="7">
        <f>H312</f>
        <v>0</v>
      </c>
      <c r="I311" s="7">
        <f t="shared" si="126"/>
        <v>0</v>
      </c>
      <c r="J311" s="7">
        <f t="shared" si="129"/>
        <v>30882</v>
      </c>
    </row>
    <row r="312" spans="1:11" x14ac:dyDescent="0.25">
      <c r="A312" s="18" t="s">
        <v>83</v>
      </c>
      <c r="B312" s="17"/>
      <c r="C312" s="50" t="s">
        <v>160</v>
      </c>
      <c r="D312" s="288">
        <f>D313</f>
        <v>30882</v>
      </c>
      <c r="E312" s="288">
        <f t="shared" ref="E312:H312" si="152">E313</f>
        <v>0</v>
      </c>
      <c r="F312" s="288">
        <f t="shared" si="128"/>
        <v>30882</v>
      </c>
      <c r="G312" s="288">
        <f t="shared" si="152"/>
        <v>0</v>
      </c>
      <c r="H312" s="288">
        <f t="shared" si="152"/>
        <v>0</v>
      </c>
      <c r="I312" s="288">
        <f t="shared" si="126"/>
        <v>0</v>
      </c>
      <c r="J312" s="288">
        <f t="shared" si="129"/>
        <v>30882</v>
      </c>
    </row>
    <row r="313" spans="1:11" x14ac:dyDescent="0.25">
      <c r="A313" s="18"/>
      <c r="B313" s="9">
        <v>4</v>
      </c>
      <c r="C313" s="52" t="s">
        <v>15</v>
      </c>
      <c r="D313" s="16">
        <v>30882</v>
      </c>
      <c r="E313" s="16">
        <v>0</v>
      </c>
      <c r="F313" s="16">
        <f t="shared" si="128"/>
        <v>30882</v>
      </c>
      <c r="G313" s="16">
        <v>0</v>
      </c>
      <c r="H313" s="16">
        <v>0</v>
      </c>
      <c r="I313" s="16">
        <f t="shared" si="126"/>
        <v>0</v>
      </c>
      <c r="J313" s="16">
        <f t="shared" si="129"/>
        <v>30882</v>
      </c>
    </row>
    <row r="314" spans="1:11" s="10" customFormat="1" x14ac:dyDescent="0.25">
      <c r="A314" s="27" t="s">
        <v>56</v>
      </c>
      <c r="B314" s="14"/>
      <c r="C314" s="49" t="s">
        <v>57</v>
      </c>
      <c r="D314" s="7">
        <f>D315</f>
        <v>51500</v>
      </c>
      <c r="E314" s="7">
        <f t="shared" ref="E314:H315" si="153">E315</f>
        <v>0</v>
      </c>
      <c r="F314" s="7">
        <f t="shared" si="128"/>
        <v>51500</v>
      </c>
      <c r="G314" s="7">
        <f t="shared" si="153"/>
        <v>0</v>
      </c>
      <c r="H314" s="7">
        <f t="shared" si="153"/>
        <v>0</v>
      </c>
      <c r="I314" s="7">
        <f t="shared" si="126"/>
        <v>0</v>
      </c>
      <c r="J314" s="7">
        <f t="shared" si="129"/>
        <v>51500</v>
      </c>
    </row>
    <row r="315" spans="1:11" ht="26.25" x14ac:dyDescent="0.25">
      <c r="A315" s="18">
        <v>10702</v>
      </c>
      <c r="B315" s="17"/>
      <c r="C315" s="50" t="s">
        <v>161</v>
      </c>
      <c r="D315" s="288">
        <f>D316</f>
        <v>51500</v>
      </c>
      <c r="E315" s="288">
        <f t="shared" si="153"/>
        <v>0</v>
      </c>
      <c r="F315" s="288">
        <f t="shared" si="128"/>
        <v>51500</v>
      </c>
      <c r="G315" s="288">
        <f t="shared" si="153"/>
        <v>0</v>
      </c>
      <c r="H315" s="288">
        <f t="shared" si="153"/>
        <v>0</v>
      </c>
      <c r="I315" s="288">
        <f t="shared" si="126"/>
        <v>0</v>
      </c>
      <c r="J315" s="288">
        <f t="shared" si="129"/>
        <v>51500</v>
      </c>
    </row>
    <row r="316" spans="1:11" x14ac:dyDescent="0.25">
      <c r="A316" s="15"/>
      <c r="B316" s="9">
        <v>4</v>
      </c>
      <c r="C316" s="52" t="s">
        <v>15</v>
      </c>
      <c r="D316" s="16">
        <v>51500</v>
      </c>
      <c r="E316" s="16">
        <v>0</v>
      </c>
      <c r="F316" s="16">
        <f t="shared" si="128"/>
        <v>51500</v>
      </c>
      <c r="G316" s="16">
        <v>0</v>
      </c>
      <c r="H316" s="16">
        <v>0</v>
      </c>
      <c r="I316" s="16">
        <f t="shared" si="126"/>
        <v>0</v>
      </c>
      <c r="J316" s="16">
        <f t="shared" si="129"/>
        <v>51500</v>
      </c>
    </row>
    <row r="317" spans="1:11" x14ac:dyDescent="0.25">
      <c r="A317" s="8" t="s">
        <v>84</v>
      </c>
      <c r="B317" s="5"/>
      <c r="C317" s="53"/>
      <c r="D317" s="7">
        <f>D318+D323+D339</f>
        <v>10728279</v>
      </c>
      <c r="E317" s="7">
        <f t="shared" ref="E317:H317" si="154">E318+E323+E339</f>
        <v>3686240</v>
      </c>
      <c r="F317" s="7">
        <f t="shared" si="128"/>
        <v>14414519</v>
      </c>
      <c r="G317" s="7">
        <f t="shared" si="154"/>
        <v>1140200</v>
      </c>
      <c r="H317" s="7">
        <f t="shared" si="154"/>
        <v>413660</v>
      </c>
      <c r="I317" s="7">
        <f t="shared" si="126"/>
        <v>1553860</v>
      </c>
      <c r="J317" s="7">
        <f t="shared" si="129"/>
        <v>15968379</v>
      </c>
    </row>
    <row r="318" spans="1:11" s="10" customFormat="1" x14ac:dyDescent="0.25">
      <c r="A318" s="27" t="s">
        <v>1</v>
      </c>
      <c r="B318" s="14"/>
      <c r="C318" s="49" t="s">
        <v>2</v>
      </c>
      <c r="D318" s="7">
        <f>D319</f>
        <v>1477796</v>
      </c>
      <c r="E318" s="7">
        <f t="shared" ref="E318:H318" si="155">E319</f>
        <v>0</v>
      </c>
      <c r="F318" s="7">
        <f t="shared" si="128"/>
        <v>1477796</v>
      </c>
      <c r="G318" s="7">
        <f t="shared" si="155"/>
        <v>0</v>
      </c>
      <c r="H318" s="7">
        <f t="shared" si="155"/>
        <v>3500</v>
      </c>
      <c r="I318" s="7">
        <f t="shared" si="126"/>
        <v>3500</v>
      </c>
      <c r="J318" s="7">
        <f t="shared" si="129"/>
        <v>1481296</v>
      </c>
    </row>
    <row r="319" spans="1:11" x14ac:dyDescent="0.25">
      <c r="A319" s="18" t="s">
        <v>3</v>
      </c>
      <c r="B319" s="17"/>
      <c r="C319" s="50" t="s">
        <v>112</v>
      </c>
      <c r="D319" s="288">
        <f>SUM(D320:D322)</f>
        <v>1477796</v>
      </c>
      <c r="E319" s="288">
        <f t="shared" ref="E319:H319" si="156">SUM(E320:E322)</f>
        <v>0</v>
      </c>
      <c r="F319" s="288">
        <f t="shared" si="128"/>
        <v>1477796</v>
      </c>
      <c r="G319" s="288">
        <f t="shared" si="156"/>
        <v>0</v>
      </c>
      <c r="H319" s="288">
        <f t="shared" si="156"/>
        <v>3500</v>
      </c>
      <c r="I319" s="288">
        <f t="shared" si="126"/>
        <v>3500</v>
      </c>
      <c r="J319" s="288">
        <f t="shared" si="129"/>
        <v>1481296</v>
      </c>
    </row>
    <row r="320" spans="1:11" x14ac:dyDescent="0.25">
      <c r="A320" s="15"/>
      <c r="B320" s="9" t="s">
        <v>4</v>
      </c>
      <c r="C320" s="52" t="s">
        <v>5</v>
      </c>
      <c r="D320" s="16">
        <v>1315396</v>
      </c>
      <c r="E320" s="16">
        <v>0</v>
      </c>
      <c r="F320" s="16">
        <f t="shared" si="128"/>
        <v>1315396</v>
      </c>
      <c r="G320" s="16">
        <v>0</v>
      </c>
      <c r="H320" s="16">
        <v>0</v>
      </c>
      <c r="I320" s="16">
        <f t="shared" si="126"/>
        <v>0</v>
      </c>
      <c r="J320" s="16">
        <f t="shared" si="129"/>
        <v>1315396</v>
      </c>
    </row>
    <row r="321" spans="1:10" x14ac:dyDescent="0.25">
      <c r="A321" s="15"/>
      <c r="B321" s="9" t="s">
        <v>6</v>
      </c>
      <c r="C321" s="52" t="s">
        <v>7</v>
      </c>
      <c r="D321" s="16">
        <v>161400</v>
      </c>
      <c r="E321" s="16">
        <v>0</v>
      </c>
      <c r="F321" s="16">
        <f t="shared" si="128"/>
        <v>161400</v>
      </c>
      <c r="G321" s="16">
        <v>0</v>
      </c>
      <c r="H321" s="16">
        <v>3500</v>
      </c>
      <c r="I321" s="16">
        <f t="shared" si="126"/>
        <v>3500</v>
      </c>
      <c r="J321" s="16">
        <f t="shared" si="129"/>
        <v>164900</v>
      </c>
    </row>
    <row r="322" spans="1:10" x14ac:dyDescent="0.25">
      <c r="A322" s="15"/>
      <c r="B322" s="9" t="s">
        <v>8</v>
      </c>
      <c r="C322" s="52" t="s">
        <v>9</v>
      </c>
      <c r="D322" s="16">
        <v>1000</v>
      </c>
      <c r="E322" s="16">
        <v>0</v>
      </c>
      <c r="F322" s="16">
        <f t="shared" si="128"/>
        <v>1000</v>
      </c>
      <c r="G322" s="16">
        <v>0</v>
      </c>
      <c r="H322" s="16">
        <v>0</v>
      </c>
      <c r="I322" s="16">
        <f t="shared" si="126"/>
        <v>0</v>
      </c>
      <c r="J322" s="16">
        <f t="shared" si="129"/>
        <v>1000</v>
      </c>
    </row>
    <row r="323" spans="1:10" s="10" customFormat="1" x14ac:dyDescent="0.25">
      <c r="A323" s="27" t="s">
        <v>85</v>
      </c>
      <c r="B323" s="14"/>
      <c r="C323" s="49" t="s">
        <v>86</v>
      </c>
      <c r="D323" s="7">
        <f>D324+D326+D329+D331+D335</f>
        <v>565500</v>
      </c>
      <c r="E323" s="7">
        <f>E324+E326+E329+E331+E335</f>
        <v>0</v>
      </c>
      <c r="F323" s="7">
        <f t="shared" si="128"/>
        <v>565500</v>
      </c>
      <c r="G323" s="7">
        <f>G324+G326+G329+G331+G335</f>
        <v>0</v>
      </c>
      <c r="H323" s="7">
        <f>H324+H326+H329+H331+H335</f>
        <v>12000</v>
      </c>
      <c r="I323" s="7">
        <f t="shared" si="126"/>
        <v>12000</v>
      </c>
      <c r="J323" s="7">
        <f t="shared" si="129"/>
        <v>577500</v>
      </c>
    </row>
    <row r="324" spans="1:10" ht="39" x14ac:dyDescent="0.25">
      <c r="A324" s="18" t="s">
        <v>87</v>
      </c>
      <c r="B324" s="17"/>
      <c r="C324" s="50" t="s">
        <v>162</v>
      </c>
      <c r="D324" s="288">
        <f>D325</f>
        <v>30000</v>
      </c>
      <c r="E324" s="288">
        <f t="shared" ref="E324:H324" si="157">E325</f>
        <v>0</v>
      </c>
      <c r="F324" s="288">
        <f t="shared" si="128"/>
        <v>30000</v>
      </c>
      <c r="G324" s="288">
        <f t="shared" si="157"/>
        <v>0</v>
      </c>
      <c r="H324" s="288">
        <f t="shared" si="157"/>
        <v>0</v>
      </c>
      <c r="I324" s="288">
        <f t="shared" si="126"/>
        <v>0</v>
      </c>
      <c r="J324" s="288">
        <f t="shared" si="129"/>
        <v>30000</v>
      </c>
    </row>
    <row r="325" spans="1:10" x14ac:dyDescent="0.25">
      <c r="A325" s="18"/>
      <c r="B325" s="9">
        <v>4</v>
      </c>
      <c r="C325" s="52" t="s">
        <v>15</v>
      </c>
      <c r="D325" s="16">
        <v>30000</v>
      </c>
      <c r="E325" s="16">
        <v>0</v>
      </c>
      <c r="F325" s="16">
        <f t="shared" si="128"/>
        <v>30000</v>
      </c>
      <c r="G325" s="16">
        <v>0</v>
      </c>
      <c r="H325" s="16">
        <v>0</v>
      </c>
      <c r="I325" s="16">
        <f t="shared" si="126"/>
        <v>0</v>
      </c>
      <c r="J325" s="16">
        <f t="shared" si="129"/>
        <v>30000</v>
      </c>
    </row>
    <row r="326" spans="1:10" x14ac:dyDescent="0.25">
      <c r="A326" s="18" t="s">
        <v>88</v>
      </c>
      <c r="B326" s="17"/>
      <c r="C326" s="50" t="s">
        <v>163</v>
      </c>
      <c r="D326" s="288">
        <f>SUM(D327:D328)</f>
        <v>80000</v>
      </c>
      <c r="E326" s="288">
        <f t="shared" ref="E326:H326" si="158">SUM(E327:E328)</f>
        <v>0</v>
      </c>
      <c r="F326" s="288">
        <f t="shared" si="128"/>
        <v>80000</v>
      </c>
      <c r="G326" s="288">
        <f t="shared" si="158"/>
        <v>0</v>
      </c>
      <c r="H326" s="288">
        <f t="shared" si="158"/>
        <v>0</v>
      </c>
      <c r="I326" s="288">
        <f t="shared" ref="I326:I383" si="159">SUM(G326:H326)</f>
        <v>0</v>
      </c>
      <c r="J326" s="288">
        <f t="shared" si="129"/>
        <v>80000</v>
      </c>
    </row>
    <row r="327" spans="1:10" x14ac:dyDescent="0.25">
      <c r="A327" s="18"/>
      <c r="B327" s="9" t="s">
        <v>6</v>
      </c>
      <c r="C327" s="52" t="s">
        <v>7</v>
      </c>
      <c r="D327" s="16">
        <v>60000</v>
      </c>
      <c r="E327" s="16">
        <v>0</v>
      </c>
      <c r="F327" s="16">
        <f t="shared" ref="F327:F384" si="160">D327+E327</f>
        <v>60000</v>
      </c>
      <c r="G327" s="16">
        <v>0</v>
      </c>
      <c r="H327" s="16">
        <v>0</v>
      </c>
      <c r="I327" s="16">
        <f t="shared" si="159"/>
        <v>0</v>
      </c>
      <c r="J327" s="16">
        <f t="shared" ref="J327:J384" si="161">I327+F327</f>
        <v>60000</v>
      </c>
    </row>
    <row r="328" spans="1:10" x14ac:dyDescent="0.25">
      <c r="A328" s="18"/>
      <c r="B328" s="9">
        <v>4</v>
      </c>
      <c r="C328" s="52" t="s">
        <v>15</v>
      </c>
      <c r="D328" s="16">
        <v>20000</v>
      </c>
      <c r="E328" s="16">
        <v>0</v>
      </c>
      <c r="F328" s="16">
        <f t="shared" si="160"/>
        <v>20000</v>
      </c>
      <c r="G328" s="16">
        <v>0</v>
      </c>
      <c r="H328" s="16">
        <v>0</v>
      </c>
      <c r="I328" s="16">
        <f t="shared" si="159"/>
        <v>0</v>
      </c>
      <c r="J328" s="16">
        <f t="shared" si="161"/>
        <v>20000</v>
      </c>
    </row>
    <row r="329" spans="1:10" x14ac:dyDescent="0.25">
      <c r="A329" s="18" t="s">
        <v>89</v>
      </c>
      <c r="B329" s="17"/>
      <c r="C329" s="50" t="s">
        <v>164</v>
      </c>
      <c r="D329" s="288">
        <f>D330</f>
        <v>390000</v>
      </c>
      <c r="E329" s="288">
        <f t="shared" ref="E329:H329" si="162">E330</f>
        <v>0</v>
      </c>
      <c r="F329" s="288">
        <f t="shared" si="160"/>
        <v>390000</v>
      </c>
      <c r="G329" s="288">
        <f t="shared" si="162"/>
        <v>0</v>
      </c>
      <c r="H329" s="288">
        <f t="shared" si="162"/>
        <v>0</v>
      </c>
      <c r="I329" s="288">
        <f t="shared" si="159"/>
        <v>0</v>
      </c>
      <c r="J329" s="288">
        <f t="shared" si="161"/>
        <v>390000</v>
      </c>
    </row>
    <row r="330" spans="1:10" x14ac:dyDescent="0.25">
      <c r="A330" s="18"/>
      <c r="B330" s="9" t="s">
        <v>6</v>
      </c>
      <c r="C330" s="52" t="s">
        <v>7</v>
      </c>
      <c r="D330" s="16">
        <v>390000</v>
      </c>
      <c r="E330" s="16">
        <v>0</v>
      </c>
      <c r="F330" s="16">
        <f t="shared" si="160"/>
        <v>390000</v>
      </c>
      <c r="G330" s="16">
        <v>0</v>
      </c>
      <c r="H330" s="16">
        <v>0</v>
      </c>
      <c r="I330" s="16">
        <f t="shared" si="159"/>
        <v>0</v>
      </c>
      <c r="J330" s="16">
        <f t="shared" si="161"/>
        <v>390000</v>
      </c>
    </row>
    <row r="331" spans="1:10" ht="26.25" x14ac:dyDescent="0.25">
      <c r="A331" s="18" t="s">
        <v>90</v>
      </c>
      <c r="B331" s="17"/>
      <c r="C331" s="50" t="s">
        <v>165</v>
      </c>
      <c r="D331" s="288">
        <f>SUM(D332:D334)</f>
        <v>65500</v>
      </c>
      <c r="E331" s="288">
        <f t="shared" ref="E331:H331" si="163">SUM(E332:E334)</f>
        <v>0</v>
      </c>
      <c r="F331" s="288">
        <f t="shared" si="160"/>
        <v>65500</v>
      </c>
      <c r="G331" s="288">
        <f t="shared" si="163"/>
        <v>0</v>
      </c>
      <c r="H331" s="288">
        <f t="shared" si="163"/>
        <v>0</v>
      </c>
      <c r="I331" s="288">
        <f t="shared" si="159"/>
        <v>0</v>
      </c>
      <c r="J331" s="288">
        <f t="shared" si="161"/>
        <v>65500</v>
      </c>
    </row>
    <row r="332" spans="1:10" x14ac:dyDescent="0.25">
      <c r="A332" s="18"/>
      <c r="B332" s="9" t="s">
        <v>4</v>
      </c>
      <c r="C332" s="52" t="s">
        <v>5</v>
      </c>
      <c r="D332" s="16">
        <v>0</v>
      </c>
      <c r="E332" s="16">
        <v>0</v>
      </c>
      <c r="F332" s="16">
        <f t="shared" si="160"/>
        <v>0</v>
      </c>
      <c r="G332" s="16">
        <v>0</v>
      </c>
      <c r="H332" s="16">
        <v>0</v>
      </c>
      <c r="I332" s="16">
        <f t="shared" si="159"/>
        <v>0</v>
      </c>
      <c r="J332" s="16">
        <f t="shared" si="161"/>
        <v>0</v>
      </c>
    </row>
    <row r="333" spans="1:10" x14ac:dyDescent="0.25">
      <c r="A333" s="18"/>
      <c r="B333" s="9" t="s">
        <v>6</v>
      </c>
      <c r="C333" s="52" t="s">
        <v>7</v>
      </c>
      <c r="D333" s="16">
        <v>32000</v>
      </c>
      <c r="E333" s="16">
        <v>0</v>
      </c>
      <c r="F333" s="16">
        <f t="shared" si="160"/>
        <v>32000</v>
      </c>
      <c r="G333" s="16">
        <v>0</v>
      </c>
      <c r="H333" s="16">
        <v>0</v>
      </c>
      <c r="I333" s="16">
        <f t="shared" si="159"/>
        <v>0</v>
      </c>
      <c r="J333" s="16">
        <f t="shared" si="161"/>
        <v>32000</v>
      </c>
    </row>
    <row r="334" spans="1:10" x14ac:dyDescent="0.25">
      <c r="A334" s="18"/>
      <c r="B334" s="9">
        <v>4</v>
      </c>
      <c r="C334" s="52" t="s">
        <v>15</v>
      </c>
      <c r="D334" s="16">
        <v>33500</v>
      </c>
      <c r="E334" s="16">
        <v>0</v>
      </c>
      <c r="F334" s="16">
        <f t="shared" si="160"/>
        <v>33500</v>
      </c>
      <c r="G334" s="16">
        <v>0</v>
      </c>
      <c r="H334" s="16">
        <v>0</v>
      </c>
      <c r="I334" s="16">
        <f t="shared" si="159"/>
        <v>0</v>
      </c>
      <c r="J334" s="16">
        <f t="shared" si="161"/>
        <v>33500</v>
      </c>
    </row>
    <row r="335" spans="1:10" s="2" customFormat="1" x14ac:dyDescent="0.25">
      <c r="A335" s="1" t="s">
        <v>91</v>
      </c>
      <c r="B335" s="17"/>
      <c r="C335" s="50" t="s">
        <v>465</v>
      </c>
      <c r="D335" s="288">
        <f>SUM(D336:D338)</f>
        <v>0</v>
      </c>
      <c r="E335" s="288">
        <f t="shared" ref="E335" si="164">SUM(E336:E338)</f>
        <v>0</v>
      </c>
      <c r="F335" s="288">
        <f t="shared" ref="F335:F338" si="165">D335+E335</f>
        <v>0</v>
      </c>
      <c r="G335" s="288">
        <f t="shared" ref="G335:H335" si="166">SUM(G336:G338)</f>
        <v>0</v>
      </c>
      <c r="H335" s="288">
        <f t="shared" si="166"/>
        <v>12000</v>
      </c>
      <c r="I335" s="288">
        <f t="shared" ref="I335:I338" si="167">SUM(G335:H335)</f>
        <v>12000</v>
      </c>
      <c r="J335" s="288">
        <f t="shared" ref="J335:J338" si="168">I335+F335</f>
        <v>12000</v>
      </c>
    </row>
    <row r="336" spans="1:10" s="2" customFormat="1" x14ac:dyDescent="0.25">
      <c r="A336" s="18"/>
      <c r="B336" s="9" t="s">
        <v>4</v>
      </c>
      <c r="C336" s="52" t="s">
        <v>5</v>
      </c>
      <c r="D336" s="16">
        <v>0</v>
      </c>
      <c r="E336" s="16">
        <v>0</v>
      </c>
      <c r="F336" s="16">
        <f t="shared" si="165"/>
        <v>0</v>
      </c>
      <c r="G336" s="16">
        <v>0</v>
      </c>
      <c r="H336" s="16">
        <v>11400</v>
      </c>
      <c r="I336" s="16">
        <f t="shared" si="167"/>
        <v>11400</v>
      </c>
      <c r="J336" s="16">
        <f t="shared" si="168"/>
        <v>11400</v>
      </c>
    </row>
    <row r="337" spans="1:10" s="2" customFormat="1" x14ac:dyDescent="0.25">
      <c r="A337" s="18"/>
      <c r="B337" s="9" t="s">
        <v>6</v>
      </c>
      <c r="C337" s="52" t="s">
        <v>7</v>
      </c>
      <c r="D337" s="16">
        <v>0</v>
      </c>
      <c r="E337" s="16">
        <v>0</v>
      </c>
      <c r="F337" s="16">
        <f t="shared" si="165"/>
        <v>0</v>
      </c>
      <c r="G337" s="16">
        <v>0</v>
      </c>
      <c r="H337" s="16">
        <v>600</v>
      </c>
      <c r="I337" s="16">
        <f t="shared" si="167"/>
        <v>600</v>
      </c>
      <c r="J337" s="16">
        <f t="shared" si="168"/>
        <v>600</v>
      </c>
    </row>
    <row r="338" spans="1:10" s="2" customFormat="1" x14ac:dyDescent="0.25">
      <c r="A338" s="18"/>
      <c r="B338" s="9">
        <v>4</v>
      </c>
      <c r="C338" s="52" t="s">
        <v>15</v>
      </c>
      <c r="D338" s="16">
        <v>0</v>
      </c>
      <c r="E338" s="16">
        <v>0</v>
      </c>
      <c r="F338" s="16">
        <f t="shared" si="165"/>
        <v>0</v>
      </c>
      <c r="G338" s="16">
        <v>0</v>
      </c>
      <c r="H338" s="16">
        <v>0</v>
      </c>
      <c r="I338" s="16">
        <f t="shared" si="167"/>
        <v>0</v>
      </c>
      <c r="J338" s="16">
        <f t="shared" si="168"/>
        <v>0</v>
      </c>
    </row>
    <row r="339" spans="1:10" s="10" customFormat="1" x14ac:dyDescent="0.25">
      <c r="A339" s="27" t="s">
        <v>56</v>
      </c>
      <c r="B339" s="14"/>
      <c r="C339" s="49" t="s">
        <v>57</v>
      </c>
      <c r="D339" s="7">
        <f>D340+D342+D346+D349+D352+D356+D359+D362+D366+D370+D376+D372</f>
        <v>8684983</v>
      </c>
      <c r="E339" s="7">
        <f>E340+E342+E346+E349+E352+E356+E359+E362+E366+E370+E376+E372</f>
        <v>3686240</v>
      </c>
      <c r="F339" s="7">
        <f t="shared" si="160"/>
        <v>12371223</v>
      </c>
      <c r="G339" s="7">
        <f>G340+G342+G346+G349+G352+G356+G359+G362+G366+G370+G372+G376</f>
        <v>1140200</v>
      </c>
      <c r="H339" s="7">
        <f>H340+H342+H346+H349+H352+H356+H359+H362+H366+H370+H372+H376</f>
        <v>398160</v>
      </c>
      <c r="I339" s="16">
        <f t="shared" si="159"/>
        <v>1538360</v>
      </c>
      <c r="J339" s="7">
        <f t="shared" si="161"/>
        <v>13909583</v>
      </c>
    </row>
    <row r="340" spans="1:10" ht="26.25" x14ac:dyDescent="0.25">
      <c r="A340" s="18" t="s">
        <v>92</v>
      </c>
      <c r="B340" s="17"/>
      <c r="C340" s="50" t="s">
        <v>166</v>
      </c>
      <c r="D340" s="288">
        <f>D341</f>
        <v>563000</v>
      </c>
      <c r="E340" s="288">
        <f t="shared" ref="E340:H340" si="169">E341</f>
        <v>0</v>
      </c>
      <c r="F340" s="288">
        <f t="shared" si="160"/>
        <v>563000</v>
      </c>
      <c r="G340" s="288">
        <f t="shared" si="169"/>
        <v>0</v>
      </c>
      <c r="H340" s="288">
        <f t="shared" si="169"/>
        <v>0</v>
      </c>
      <c r="I340" s="288">
        <f t="shared" si="159"/>
        <v>0</v>
      </c>
      <c r="J340" s="288">
        <f t="shared" si="161"/>
        <v>563000</v>
      </c>
    </row>
    <row r="341" spans="1:10" x14ac:dyDescent="0.25">
      <c r="A341" s="18"/>
      <c r="B341" s="9" t="s">
        <v>6</v>
      </c>
      <c r="C341" s="52" t="s">
        <v>7</v>
      </c>
      <c r="D341" s="16">
        <v>563000</v>
      </c>
      <c r="E341" s="16">
        <v>0</v>
      </c>
      <c r="F341" s="16">
        <f t="shared" si="160"/>
        <v>563000</v>
      </c>
      <c r="G341" s="16">
        <v>0</v>
      </c>
      <c r="H341" s="16">
        <v>0</v>
      </c>
      <c r="I341" s="16">
        <f t="shared" si="159"/>
        <v>0</v>
      </c>
      <c r="J341" s="16">
        <f t="shared" si="161"/>
        <v>563000</v>
      </c>
    </row>
    <row r="342" spans="1:10" ht="26.25" x14ac:dyDescent="0.25">
      <c r="A342" s="18" t="s">
        <v>93</v>
      </c>
      <c r="B342" s="17"/>
      <c r="C342" s="50" t="s">
        <v>167</v>
      </c>
      <c r="D342" s="288">
        <f>SUM(D343:D345)</f>
        <v>2700856</v>
      </c>
      <c r="E342" s="288">
        <f>SUM(E343:E345)</f>
        <v>286089</v>
      </c>
      <c r="F342" s="288">
        <f t="shared" si="160"/>
        <v>2986945</v>
      </c>
      <c r="G342" s="288">
        <f>SUM(G343:G345)</f>
        <v>0</v>
      </c>
      <c r="H342" s="288">
        <f>SUM(H343:H345)</f>
        <v>211241</v>
      </c>
      <c r="I342" s="288">
        <f t="shared" si="159"/>
        <v>211241</v>
      </c>
      <c r="J342" s="288">
        <f t="shared" si="161"/>
        <v>3198186</v>
      </c>
    </row>
    <row r="343" spans="1:10" s="2" customFormat="1" x14ac:dyDescent="0.25">
      <c r="A343" s="18"/>
      <c r="B343" s="9" t="s">
        <v>4</v>
      </c>
      <c r="C343" s="51" t="s">
        <v>5</v>
      </c>
      <c r="D343" s="16"/>
      <c r="E343" s="16">
        <v>0</v>
      </c>
      <c r="F343" s="16">
        <f t="shared" ref="F343" si="170">D343+E343</f>
        <v>0</v>
      </c>
      <c r="G343" s="16">
        <v>0</v>
      </c>
      <c r="H343" s="16">
        <v>24100</v>
      </c>
      <c r="I343" s="16">
        <f t="shared" ref="I343" si="171">SUM(G343:H343)</f>
        <v>24100</v>
      </c>
      <c r="J343" s="16">
        <f t="shared" ref="J343" si="172">I343+F343</f>
        <v>24100</v>
      </c>
    </row>
    <row r="344" spans="1:10" x14ac:dyDescent="0.25">
      <c r="A344" s="18"/>
      <c r="B344" s="9" t="s">
        <v>6</v>
      </c>
      <c r="C344" s="52" t="s">
        <v>7</v>
      </c>
      <c r="D344" s="16">
        <v>754000</v>
      </c>
      <c r="E344" s="16">
        <v>286089</v>
      </c>
      <c r="F344" s="16">
        <f t="shared" si="160"/>
        <v>1040089</v>
      </c>
      <c r="G344" s="16">
        <v>0</v>
      </c>
      <c r="H344" s="16">
        <v>0</v>
      </c>
      <c r="I344" s="16">
        <f t="shared" si="159"/>
        <v>0</v>
      </c>
      <c r="J344" s="16">
        <f t="shared" si="161"/>
        <v>1040089</v>
      </c>
    </row>
    <row r="345" spans="1:10" s="2" customFormat="1" x14ac:dyDescent="0.25">
      <c r="A345" s="18"/>
      <c r="B345" s="9">
        <v>4</v>
      </c>
      <c r="C345" s="52" t="s">
        <v>15</v>
      </c>
      <c r="D345" s="16">
        <v>1946856</v>
      </c>
      <c r="E345" s="16"/>
      <c r="F345" s="16">
        <f t="shared" si="160"/>
        <v>1946856</v>
      </c>
      <c r="G345" s="16">
        <v>0</v>
      </c>
      <c r="H345" s="16">
        <v>187141</v>
      </c>
      <c r="I345" s="16">
        <f t="shared" si="159"/>
        <v>187141</v>
      </c>
      <c r="J345" s="16">
        <f t="shared" si="161"/>
        <v>2133997</v>
      </c>
    </row>
    <row r="346" spans="1:10" x14ac:dyDescent="0.25">
      <c r="A346" s="18">
        <v>10200</v>
      </c>
      <c r="B346" s="17"/>
      <c r="C346" s="50" t="s">
        <v>168</v>
      </c>
      <c r="D346" s="288">
        <f>SUM(D347:D348)</f>
        <v>1408500</v>
      </c>
      <c r="E346" s="288">
        <f t="shared" ref="E346:H346" si="173">SUM(E347:E348)</f>
        <v>0</v>
      </c>
      <c r="F346" s="288">
        <f t="shared" si="160"/>
        <v>1408500</v>
      </c>
      <c r="G346" s="288">
        <f t="shared" si="173"/>
        <v>1092000</v>
      </c>
      <c r="H346" s="288">
        <f t="shared" si="173"/>
        <v>0</v>
      </c>
      <c r="I346" s="288">
        <f t="shared" si="159"/>
        <v>1092000</v>
      </c>
      <c r="J346" s="288">
        <f t="shared" si="161"/>
        <v>2500500</v>
      </c>
    </row>
    <row r="347" spans="1:10" x14ac:dyDescent="0.25">
      <c r="A347" s="18"/>
      <c r="B347" s="9" t="s">
        <v>4</v>
      </c>
      <c r="C347" s="52" t="s">
        <v>5</v>
      </c>
      <c r="D347" s="16">
        <v>943000</v>
      </c>
      <c r="E347" s="16">
        <v>0</v>
      </c>
      <c r="F347" s="16">
        <f t="shared" si="160"/>
        <v>943000</v>
      </c>
      <c r="G347" s="16">
        <v>496000</v>
      </c>
      <c r="H347" s="16">
        <v>0</v>
      </c>
      <c r="I347" s="16">
        <f t="shared" si="159"/>
        <v>496000</v>
      </c>
      <c r="J347" s="16">
        <f t="shared" si="161"/>
        <v>1439000</v>
      </c>
    </row>
    <row r="348" spans="1:10" x14ac:dyDescent="0.25">
      <c r="A348" s="18"/>
      <c r="B348" s="9" t="s">
        <v>6</v>
      </c>
      <c r="C348" s="52" t="s">
        <v>7</v>
      </c>
      <c r="D348" s="16">
        <v>465500</v>
      </c>
      <c r="E348" s="16">
        <v>0</v>
      </c>
      <c r="F348" s="16">
        <f t="shared" si="160"/>
        <v>465500</v>
      </c>
      <c r="G348" s="16">
        <v>596000</v>
      </c>
      <c r="H348" s="16">
        <v>0</v>
      </c>
      <c r="I348" s="16">
        <f t="shared" si="159"/>
        <v>596000</v>
      </c>
      <c r="J348" s="16">
        <f t="shared" si="161"/>
        <v>1061500</v>
      </c>
    </row>
    <row r="349" spans="1:10" x14ac:dyDescent="0.25">
      <c r="A349" s="18">
        <v>10200</v>
      </c>
      <c r="B349" s="17"/>
      <c r="C349" s="50" t="s">
        <v>169</v>
      </c>
      <c r="D349" s="288">
        <f>SUM(D350:D351)</f>
        <v>686068</v>
      </c>
      <c r="E349" s="288">
        <f t="shared" ref="E349:H349" si="174">SUM(E350:E351)</f>
        <v>0</v>
      </c>
      <c r="F349" s="288">
        <f t="shared" si="160"/>
        <v>686068</v>
      </c>
      <c r="G349" s="288">
        <f t="shared" si="174"/>
        <v>7700</v>
      </c>
      <c r="H349" s="288">
        <f t="shared" si="174"/>
        <v>159819</v>
      </c>
      <c r="I349" s="288">
        <f t="shared" si="159"/>
        <v>167519</v>
      </c>
      <c r="J349" s="288">
        <f t="shared" si="161"/>
        <v>853587</v>
      </c>
    </row>
    <row r="350" spans="1:10" x14ac:dyDescent="0.25">
      <c r="A350" s="18"/>
      <c r="B350" s="9" t="s">
        <v>4</v>
      </c>
      <c r="C350" s="52" t="s">
        <v>5</v>
      </c>
      <c r="D350" s="16">
        <v>615257</v>
      </c>
      <c r="E350" s="16">
        <v>0</v>
      </c>
      <c r="F350" s="16">
        <f t="shared" si="160"/>
        <v>615257</v>
      </c>
      <c r="G350" s="16">
        <v>2000</v>
      </c>
      <c r="H350" s="16">
        <v>156546</v>
      </c>
      <c r="I350" s="16">
        <f t="shared" si="159"/>
        <v>158546</v>
      </c>
      <c r="J350" s="16">
        <f t="shared" si="161"/>
        <v>773803</v>
      </c>
    </row>
    <row r="351" spans="1:10" x14ac:dyDescent="0.25">
      <c r="A351" s="18"/>
      <c r="B351" s="9" t="s">
        <v>6</v>
      </c>
      <c r="C351" s="52" t="s">
        <v>7</v>
      </c>
      <c r="D351" s="16">
        <v>70811</v>
      </c>
      <c r="E351" s="16">
        <v>0</v>
      </c>
      <c r="F351" s="16">
        <f t="shared" si="160"/>
        <v>70811</v>
      </c>
      <c r="G351" s="16">
        <v>5700</v>
      </c>
      <c r="H351" s="16">
        <v>3273</v>
      </c>
      <c r="I351" s="16">
        <f t="shared" si="159"/>
        <v>8973</v>
      </c>
      <c r="J351" s="16">
        <f t="shared" si="161"/>
        <v>79784</v>
      </c>
    </row>
    <row r="352" spans="1:10" x14ac:dyDescent="0.25">
      <c r="A352" s="18">
        <v>10200</v>
      </c>
      <c r="B352" s="17"/>
      <c r="C352" s="50" t="s">
        <v>138</v>
      </c>
      <c r="D352" s="288">
        <f>SUM(D353:D355)</f>
        <v>253220</v>
      </c>
      <c r="E352" s="288">
        <f t="shared" ref="E352:H352" si="175">SUM(E353:E355)</f>
        <v>0</v>
      </c>
      <c r="F352" s="288">
        <f t="shared" si="160"/>
        <v>253220</v>
      </c>
      <c r="G352" s="288">
        <f t="shared" si="175"/>
        <v>5000</v>
      </c>
      <c r="H352" s="288">
        <f t="shared" si="175"/>
        <v>0</v>
      </c>
      <c r="I352" s="288">
        <f t="shared" si="159"/>
        <v>5000</v>
      </c>
      <c r="J352" s="288">
        <f t="shared" si="161"/>
        <v>258220</v>
      </c>
    </row>
    <row r="353" spans="1:10" x14ac:dyDescent="0.25">
      <c r="A353" s="18"/>
      <c r="B353" s="9" t="s">
        <v>4</v>
      </c>
      <c r="C353" s="52" t="s">
        <v>5</v>
      </c>
      <c r="D353" s="16">
        <v>68960</v>
      </c>
      <c r="E353" s="16">
        <v>0</v>
      </c>
      <c r="F353" s="16">
        <f t="shared" si="160"/>
        <v>68960</v>
      </c>
      <c r="G353" s="16"/>
      <c r="H353" s="16">
        <v>0</v>
      </c>
      <c r="I353" s="16">
        <f t="shared" si="159"/>
        <v>0</v>
      </c>
      <c r="J353" s="16">
        <f t="shared" si="161"/>
        <v>68960</v>
      </c>
    </row>
    <row r="354" spans="1:10" x14ac:dyDescent="0.25">
      <c r="A354" s="18"/>
      <c r="B354" s="9" t="s">
        <v>6</v>
      </c>
      <c r="C354" s="52" t="s">
        <v>7</v>
      </c>
      <c r="D354" s="16">
        <v>56260</v>
      </c>
      <c r="E354" s="16">
        <v>0</v>
      </c>
      <c r="F354" s="16">
        <f t="shared" si="160"/>
        <v>56260</v>
      </c>
      <c r="G354" s="16">
        <v>5000</v>
      </c>
      <c r="H354" s="16">
        <v>0</v>
      </c>
      <c r="I354" s="16">
        <f t="shared" si="159"/>
        <v>5000</v>
      </c>
      <c r="J354" s="16">
        <f t="shared" si="161"/>
        <v>61260</v>
      </c>
    </row>
    <row r="355" spans="1:10" x14ac:dyDescent="0.25">
      <c r="A355" s="18"/>
      <c r="B355" s="9">
        <v>4</v>
      </c>
      <c r="C355" s="52" t="s">
        <v>15</v>
      </c>
      <c r="D355" s="16">
        <v>128000</v>
      </c>
      <c r="E355" s="16">
        <v>0</v>
      </c>
      <c r="F355" s="16">
        <f t="shared" si="160"/>
        <v>128000</v>
      </c>
      <c r="G355" s="16">
        <v>0</v>
      </c>
      <c r="H355" s="16">
        <v>0</v>
      </c>
      <c r="I355" s="16">
        <f t="shared" si="159"/>
        <v>0</v>
      </c>
      <c r="J355" s="16">
        <f t="shared" si="161"/>
        <v>128000</v>
      </c>
    </row>
    <row r="356" spans="1:10" ht="26.25" x14ac:dyDescent="0.25">
      <c r="A356" s="18" t="s">
        <v>94</v>
      </c>
      <c r="B356" s="17"/>
      <c r="C356" s="50" t="s">
        <v>170</v>
      </c>
      <c r="D356" s="288">
        <f t="shared" ref="D356:H356" si="176">SUM(D357:D358)</f>
        <v>124800</v>
      </c>
      <c r="E356" s="288">
        <f t="shared" si="176"/>
        <v>0</v>
      </c>
      <c r="F356" s="288">
        <f t="shared" si="160"/>
        <v>124800</v>
      </c>
      <c r="G356" s="288">
        <f t="shared" si="176"/>
        <v>0</v>
      </c>
      <c r="H356" s="288">
        <f t="shared" si="176"/>
        <v>0</v>
      </c>
      <c r="I356" s="288">
        <f t="shared" si="159"/>
        <v>0</v>
      </c>
      <c r="J356" s="288">
        <f t="shared" si="161"/>
        <v>124800</v>
      </c>
    </row>
    <row r="357" spans="1:10" x14ac:dyDescent="0.25">
      <c r="A357" s="18"/>
      <c r="B357" s="9" t="s">
        <v>6</v>
      </c>
      <c r="C357" s="52" t="s">
        <v>7</v>
      </c>
      <c r="D357" s="16">
        <v>29000</v>
      </c>
      <c r="E357" s="16">
        <v>0</v>
      </c>
      <c r="F357" s="16">
        <f t="shared" si="160"/>
        <v>29000</v>
      </c>
      <c r="G357" s="16">
        <v>0</v>
      </c>
      <c r="H357" s="16">
        <v>0</v>
      </c>
      <c r="I357" s="16">
        <f t="shared" si="159"/>
        <v>0</v>
      </c>
      <c r="J357" s="16">
        <f t="shared" si="161"/>
        <v>29000</v>
      </c>
    </row>
    <row r="358" spans="1:10" s="2" customFormat="1" x14ac:dyDescent="0.25">
      <c r="A358" s="18"/>
      <c r="B358" s="9">
        <v>4</v>
      </c>
      <c r="C358" s="52" t="s">
        <v>15</v>
      </c>
      <c r="D358" s="16">
        <v>95800</v>
      </c>
      <c r="E358" s="16">
        <v>0</v>
      </c>
      <c r="F358" s="16">
        <f t="shared" si="160"/>
        <v>95800</v>
      </c>
      <c r="G358" s="16">
        <v>0</v>
      </c>
      <c r="H358" s="16">
        <v>0</v>
      </c>
      <c r="I358" s="16">
        <f t="shared" si="159"/>
        <v>0</v>
      </c>
      <c r="J358" s="16">
        <f t="shared" si="161"/>
        <v>95800</v>
      </c>
    </row>
    <row r="359" spans="1:10" x14ac:dyDescent="0.25">
      <c r="A359" s="18" t="s">
        <v>95</v>
      </c>
      <c r="B359" s="17"/>
      <c r="C359" s="50" t="s">
        <v>424</v>
      </c>
      <c r="D359" s="288">
        <f>SUM(D360:D361)</f>
        <v>239049</v>
      </c>
      <c r="E359" s="288">
        <f>SUM(E360:E361)</f>
        <v>1620151</v>
      </c>
      <c r="F359" s="288">
        <f t="shared" si="160"/>
        <v>1859200</v>
      </c>
      <c r="G359" s="288">
        <f t="shared" ref="G359:H359" si="177">SUM(G360)</f>
        <v>0</v>
      </c>
      <c r="H359" s="288">
        <f t="shared" si="177"/>
        <v>0</v>
      </c>
      <c r="I359" s="288">
        <f t="shared" si="159"/>
        <v>0</v>
      </c>
      <c r="J359" s="288">
        <f t="shared" si="161"/>
        <v>1859200</v>
      </c>
    </row>
    <row r="360" spans="1:10" x14ac:dyDescent="0.25">
      <c r="A360" s="18"/>
      <c r="B360" s="9" t="s">
        <v>6</v>
      </c>
      <c r="C360" s="52" t="s">
        <v>7</v>
      </c>
      <c r="D360" s="16">
        <v>239049</v>
      </c>
      <c r="E360" s="16">
        <v>1590151</v>
      </c>
      <c r="F360" s="16">
        <f t="shared" si="160"/>
        <v>1829200</v>
      </c>
      <c r="G360" s="16">
        <v>0</v>
      </c>
      <c r="H360" s="16">
        <v>0</v>
      </c>
      <c r="I360" s="16">
        <f t="shared" si="159"/>
        <v>0</v>
      </c>
      <c r="J360" s="16">
        <f t="shared" si="161"/>
        <v>1829200</v>
      </c>
    </row>
    <row r="361" spans="1:10" s="2" customFormat="1" x14ac:dyDescent="0.25">
      <c r="A361" s="18"/>
      <c r="B361" s="9">
        <v>4</v>
      </c>
      <c r="C361" s="52" t="s">
        <v>15</v>
      </c>
      <c r="D361" s="16"/>
      <c r="E361" s="16">
        <v>30000</v>
      </c>
      <c r="F361" s="16">
        <f t="shared" ref="F361" si="178">D361+E361</f>
        <v>30000</v>
      </c>
      <c r="G361" s="16">
        <v>0</v>
      </c>
      <c r="H361" s="16">
        <v>0</v>
      </c>
      <c r="I361" s="16">
        <f t="shared" ref="I361" si="179">SUM(G361:H361)</f>
        <v>0</v>
      </c>
      <c r="J361" s="16">
        <f t="shared" ref="J361" si="180">I361+F361</f>
        <v>30000</v>
      </c>
    </row>
    <row r="362" spans="1:10" ht="26.25" x14ac:dyDescent="0.25">
      <c r="A362" s="18" t="s">
        <v>96</v>
      </c>
      <c r="B362" s="17"/>
      <c r="C362" s="50" t="s">
        <v>466</v>
      </c>
      <c r="D362" s="288">
        <f>SUM(D363:D365)</f>
        <v>1342092</v>
      </c>
      <c r="E362" s="288">
        <f>SUM(E363:E365)</f>
        <v>280000</v>
      </c>
      <c r="F362" s="288">
        <f t="shared" si="160"/>
        <v>1622092</v>
      </c>
      <c r="G362" s="288">
        <f>SUM(G363:G365)</f>
        <v>24500</v>
      </c>
      <c r="H362" s="288">
        <f>SUM(H363:H365)</f>
        <v>0</v>
      </c>
      <c r="I362" s="288">
        <f t="shared" si="159"/>
        <v>24500</v>
      </c>
      <c r="J362" s="288">
        <f t="shared" si="161"/>
        <v>1646592</v>
      </c>
    </row>
    <row r="363" spans="1:10" s="2" customFormat="1" x14ac:dyDescent="0.25">
      <c r="A363" s="18"/>
      <c r="B363" s="9" t="s">
        <v>4</v>
      </c>
      <c r="C363" s="52" t="s">
        <v>5</v>
      </c>
      <c r="D363" s="16">
        <v>185760</v>
      </c>
      <c r="E363" s="16"/>
      <c r="F363" s="16">
        <f t="shared" si="160"/>
        <v>185760</v>
      </c>
      <c r="G363" s="16">
        <v>13000</v>
      </c>
      <c r="H363" s="16">
        <v>0</v>
      </c>
      <c r="I363" s="16">
        <f t="shared" si="159"/>
        <v>13000</v>
      </c>
      <c r="J363" s="16">
        <f t="shared" si="161"/>
        <v>198760</v>
      </c>
    </row>
    <row r="364" spans="1:10" x14ac:dyDescent="0.25">
      <c r="A364" s="15"/>
      <c r="B364" s="9" t="s">
        <v>6</v>
      </c>
      <c r="C364" s="52" t="s">
        <v>7</v>
      </c>
      <c r="D364" s="16">
        <v>372052</v>
      </c>
      <c r="E364" s="16">
        <v>0</v>
      </c>
      <c r="F364" s="16">
        <f t="shared" si="160"/>
        <v>372052</v>
      </c>
      <c r="G364" s="16">
        <v>11500</v>
      </c>
      <c r="H364" s="16">
        <v>0</v>
      </c>
      <c r="I364" s="16">
        <f t="shared" si="159"/>
        <v>11500</v>
      </c>
      <c r="J364" s="16">
        <f t="shared" si="161"/>
        <v>383552</v>
      </c>
    </row>
    <row r="365" spans="1:10" s="2" customFormat="1" x14ac:dyDescent="0.25">
      <c r="A365" s="15"/>
      <c r="B365" s="9">
        <v>4</v>
      </c>
      <c r="C365" s="52" t="s">
        <v>15</v>
      </c>
      <c r="D365" s="16">
        <v>784280</v>
      </c>
      <c r="E365" s="16">
        <v>280000</v>
      </c>
      <c r="F365" s="16">
        <f t="shared" si="160"/>
        <v>1064280</v>
      </c>
      <c r="G365" s="16">
        <v>0</v>
      </c>
      <c r="H365" s="16">
        <v>0</v>
      </c>
      <c r="I365" s="16">
        <f t="shared" si="159"/>
        <v>0</v>
      </c>
      <c r="J365" s="16">
        <f t="shared" si="161"/>
        <v>1064280</v>
      </c>
    </row>
    <row r="366" spans="1:10" ht="26.25" x14ac:dyDescent="0.25">
      <c r="A366" s="18" t="s">
        <v>97</v>
      </c>
      <c r="B366" s="17"/>
      <c r="C366" s="50" t="s">
        <v>171</v>
      </c>
      <c r="D366" s="288">
        <f>SUM(D367:D369)</f>
        <v>473845</v>
      </c>
      <c r="E366" s="288">
        <f t="shared" ref="E366:H366" si="181">SUM(E367:E369)</f>
        <v>0</v>
      </c>
      <c r="F366" s="288">
        <f t="shared" si="160"/>
        <v>473845</v>
      </c>
      <c r="G366" s="288">
        <f t="shared" si="181"/>
        <v>11000</v>
      </c>
      <c r="H366" s="288">
        <f t="shared" si="181"/>
        <v>0</v>
      </c>
      <c r="I366" s="288">
        <f t="shared" si="159"/>
        <v>11000</v>
      </c>
      <c r="J366" s="288">
        <f t="shared" si="161"/>
        <v>484845</v>
      </c>
    </row>
    <row r="367" spans="1:10" x14ac:dyDescent="0.25">
      <c r="A367" s="18"/>
      <c r="B367" s="9" t="s">
        <v>4</v>
      </c>
      <c r="C367" s="52" t="s">
        <v>5</v>
      </c>
      <c r="D367" s="16">
        <v>352445</v>
      </c>
      <c r="E367" s="16">
        <v>0</v>
      </c>
      <c r="F367" s="16">
        <f t="shared" si="160"/>
        <v>352445</v>
      </c>
      <c r="G367" s="16">
        <v>0</v>
      </c>
      <c r="H367" s="16">
        <v>0</v>
      </c>
      <c r="I367" s="16">
        <f t="shared" si="159"/>
        <v>0</v>
      </c>
      <c r="J367" s="16">
        <f t="shared" si="161"/>
        <v>352445</v>
      </c>
    </row>
    <row r="368" spans="1:10" x14ac:dyDescent="0.25">
      <c r="A368" s="18"/>
      <c r="B368" s="9" t="s">
        <v>6</v>
      </c>
      <c r="C368" s="52" t="s">
        <v>7</v>
      </c>
      <c r="D368" s="16">
        <v>101400</v>
      </c>
      <c r="E368" s="16">
        <v>0</v>
      </c>
      <c r="F368" s="16">
        <f t="shared" si="160"/>
        <v>101400</v>
      </c>
      <c r="G368" s="16">
        <v>11000</v>
      </c>
      <c r="H368" s="16">
        <v>0</v>
      </c>
      <c r="I368" s="16">
        <f t="shared" si="159"/>
        <v>11000</v>
      </c>
      <c r="J368" s="16">
        <f t="shared" si="161"/>
        <v>112400</v>
      </c>
    </row>
    <row r="369" spans="1:10" x14ac:dyDescent="0.25">
      <c r="A369" s="18"/>
      <c r="B369" s="9">
        <v>4</v>
      </c>
      <c r="C369" s="52" t="s">
        <v>15</v>
      </c>
      <c r="D369" s="16">
        <v>20000</v>
      </c>
      <c r="E369" s="16">
        <v>0</v>
      </c>
      <c r="F369" s="16">
        <f t="shared" si="160"/>
        <v>20000</v>
      </c>
      <c r="G369" s="16">
        <v>0</v>
      </c>
      <c r="H369" s="16">
        <v>0</v>
      </c>
      <c r="I369" s="16">
        <f t="shared" si="159"/>
        <v>0</v>
      </c>
      <c r="J369" s="16">
        <f t="shared" si="161"/>
        <v>20000</v>
      </c>
    </row>
    <row r="370" spans="1:10" x14ac:dyDescent="0.25">
      <c r="A370" s="18" t="s">
        <v>98</v>
      </c>
      <c r="B370" s="17"/>
      <c r="C370" s="50" t="s">
        <v>172</v>
      </c>
      <c r="D370" s="288">
        <f>SUM(D371)</f>
        <v>0</v>
      </c>
      <c r="E370" s="288">
        <f t="shared" ref="E370:H370" si="182">SUM(E371)</f>
        <v>1500000</v>
      </c>
      <c r="F370" s="288">
        <f t="shared" si="160"/>
        <v>1500000</v>
      </c>
      <c r="G370" s="288">
        <f t="shared" si="182"/>
        <v>0</v>
      </c>
      <c r="H370" s="288">
        <f t="shared" si="182"/>
        <v>0</v>
      </c>
      <c r="I370" s="288">
        <f t="shared" si="159"/>
        <v>0</v>
      </c>
      <c r="J370" s="288">
        <f t="shared" si="161"/>
        <v>1500000</v>
      </c>
    </row>
    <row r="371" spans="1:10" x14ac:dyDescent="0.25">
      <c r="A371" s="18"/>
      <c r="B371" s="9">
        <v>4</v>
      </c>
      <c r="C371" s="52" t="s">
        <v>15</v>
      </c>
      <c r="D371" s="16">
        <v>0</v>
      </c>
      <c r="E371" s="16">
        <v>1500000</v>
      </c>
      <c r="F371" s="16">
        <f t="shared" si="160"/>
        <v>1500000</v>
      </c>
      <c r="G371" s="16">
        <v>0</v>
      </c>
      <c r="H371" s="16">
        <v>0</v>
      </c>
      <c r="I371" s="16">
        <f t="shared" si="159"/>
        <v>0</v>
      </c>
      <c r="J371" s="16">
        <f t="shared" si="161"/>
        <v>1500000</v>
      </c>
    </row>
    <row r="372" spans="1:10" s="2" customFormat="1" ht="26.25" x14ac:dyDescent="0.25">
      <c r="A372" s="18">
        <v>10702</v>
      </c>
      <c r="B372" s="17"/>
      <c r="C372" s="50" t="s">
        <v>467</v>
      </c>
      <c r="D372" s="288">
        <f t="shared" ref="D372:E372" si="183">SUM(D373:D375)</f>
        <v>865588</v>
      </c>
      <c r="E372" s="288">
        <f t="shared" si="183"/>
        <v>0</v>
      </c>
      <c r="F372" s="288">
        <f t="shared" ref="F372:F375" si="184">D372+E372</f>
        <v>865588</v>
      </c>
      <c r="G372" s="288">
        <f t="shared" ref="G372:H372" si="185">SUM(G373:G375)</f>
        <v>0</v>
      </c>
      <c r="H372" s="288">
        <f t="shared" si="185"/>
        <v>23000</v>
      </c>
      <c r="I372" s="288">
        <f t="shared" ref="I372:I375" si="186">SUM(G372:H372)</f>
        <v>23000</v>
      </c>
      <c r="J372" s="288">
        <f t="shared" ref="J372:J375" si="187">I372+F372</f>
        <v>888588</v>
      </c>
    </row>
    <row r="373" spans="1:10" s="2" customFormat="1" x14ac:dyDescent="0.25">
      <c r="A373" s="18"/>
      <c r="B373" s="9" t="s">
        <v>4</v>
      </c>
      <c r="C373" s="52" t="s">
        <v>5</v>
      </c>
      <c r="D373" s="16">
        <v>5000</v>
      </c>
      <c r="E373" s="16">
        <v>0</v>
      </c>
      <c r="F373" s="16">
        <f t="shared" si="184"/>
        <v>5000</v>
      </c>
      <c r="G373" s="16">
        <v>0</v>
      </c>
      <c r="H373" s="16">
        <v>21400</v>
      </c>
      <c r="I373" s="16">
        <f t="shared" si="186"/>
        <v>21400</v>
      </c>
      <c r="J373" s="16">
        <f t="shared" si="187"/>
        <v>26400</v>
      </c>
    </row>
    <row r="374" spans="1:10" s="2" customFormat="1" x14ac:dyDescent="0.25">
      <c r="A374" s="15"/>
      <c r="B374" s="9" t="s">
        <v>6</v>
      </c>
      <c r="C374" s="52" t="s">
        <v>7</v>
      </c>
      <c r="D374" s="16">
        <v>106322</v>
      </c>
      <c r="E374" s="16">
        <v>0</v>
      </c>
      <c r="F374" s="16">
        <f t="shared" si="184"/>
        <v>106322</v>
      </c>
      <c r="G374" s="16">
        <v>0</v>
      </c>
      <c r="H374" s="16">
        <v>1600</v>
      </c>
      <c r="I374" s="16">
        <f t="shared" si="186"/>
        <v>1600</v>
      </c>
      <c r="J374" s="16">
        <f t="shared" si="187"/>
        <v>107922</v>
      </c>
    </row>
    <row r="375" spans="1:10" s="2" customFormat="1" x14ac:dyDescent="0.25">
      <c r="A375" s="15"/>
      <c r="B375" s="9">
        <v>4</v>
      </c>
      <c r="C375" s="52" t="s">
        <v>15</v>
      </c>
      <c r="D375" s="16">
        <v>754266</v>
      </c>
      <c r="E375" s="16">
        <v>0</v>
      </c>
      <c r="F375" s="16">
        <f t="shared" si="184"/>
        <v>754266</v>
      </c>
      <c r="G375" s="16">
        <v>0</v>
      </c>
      <c r="H375" s="16">
        <v>0</v>
      </c>
      <c r="I375" s="16">
        <f t="shared" si="186"/>
        <v>0</v>
      </c>
      <c r="J375" s="16">
        <f t="shared" si="187"/>
        <v>754266</v>
      </c>
    </row>
    <row r="376" spans="1:10" x14ac:dyDescent="0.25">
      <c r="A376" s="18" t="s">
        <v>99</v>
      </c>
      <c r="B376" s="17"/>
      <c r="C376" s="50" t="s">
        <v>173</v>
      </c>
      <c r="D376" s="288">
        <f t="shared" ref="D376:H376" si="188">SUM(D377:D379)</f>
        <v>27965</v>
      </c>
      <c r="E376" s="288">
        <f t="shared" si="188"/>
        <v>0</v>
      </c>
      <c r="F376" s="288">
        <f t="shared" si="160"/>
        <v>27965</v>
      </c>
      <c r="G376" s="288">
        <f t="shared" si="188"/>
        <v>0</v>
      </c>
      <c r="H376" s="288">
        <f t="shared" si="188"/>
        <v>4100</v>
      </c>
      <c r="I376" s="288">
        <f t="shared" si="159"/>
        <v>4100</v>
      </c>
      <c r="J376" s="288">
        <f t="shared" si="161"/>
        <v>32065</v>
      </c>
    </row>
    <row r="377" spans="1:10" x14ac:dyDescent="0.25">
      <c r="A377" s="18"/>
      <c r="B377" s="9" t="s">
        <v>4</v>
      </c>
      <c r="C377" s="52" t="s">
        <v>5</v>
      </c>
      <c r="D377" s="16">
        <v>0</v>
      </c>
      <c r="E377" s="16">
        <v>0</v>
      </c>
      <c r="F377" s="16">
        <f t="shared" si="160"/>
        <v>0</v>
      </c>
      <c r="G377" s="16">
        <v>0</v>
      </c>
      <c r="H377" s="16">
        <v>0</v>
      </c>
      <c r="I377" s="16">
        <f t="shared" si="159"/>
        <v>0</v>
      </c>
      <c r="J377" s="16">
        <f t="shared" si="161"/>
        <v>0</v>
      </c>
    </row>
    <row r="378" spans="1:10" x14ac:dyDescent="0.25">
      <c r="A378" s="15"/>
      <c r="B378" s="9" t="s">
        <v>6</v>
      </c>
      <c r="C378" s="52" t="s">
        <v>7</v>
      </c>
      <c r="D378" s="16">
        <v>27000</v>
      </c>
      <c r="E378" s="16">
        <v>0</v>
      </c>
      <c r="F378" s="16">
        <f t="shared" si="160"/>
        <v>27000</v>
      </c>
      <c r="G378" s="16">
        <v>0</v>
      </c>
      <c r="H378" s="16">
        <v>4100</v>
      </c>
      <c r="I378" s="16">
        <f t="shared" si="159"/>
        <v>4100</v>
      </c>
      <c r="J378" s="16">
        <f t="shared" si="161"/>
        <v>31100</v>
      </c>
    </row>
    <row r="379" spans="1:10" s="2" customFormat="1" x14ac:dyDescent="0.25">
      <c r="A379" s="15"/>
      <c r="B379" s="9">
        <v>4</v>
      </c>
      <c r="C379" s="52" t="s">
        <v>15</v>
      </c>
      <c r="D379" s="16">
        <v>965</v>
      </c>
      <c r="E379" s="16">
        <v>0</v>
      </c>
      <c r="F379" s="16">
        <f t="shared" si="160"/>
        <v>965</v>
      </c>
      <c r="G379" s="16">
        <v>0</v>
      </c>
      <c r="H379" s="16">
        <v>0</v>
      </c>
      <c r="I379" s="16">
        <f t="shared" si="159"/>
        <v>0</v>
      </c>
      <c r="J379" s="16">
        <f t="shared" si="161"/>
        <v>965</v>
      </c>
    </row>
    <row r="380" spans="1:10" s="10" customFormat="1" x14ac:dyDescent="0.25">
      <c r="A380" s="19" t="s">
        <v>111</v>
      </c>
      <c r="B380" s="26"/>
      <c r="C380" s="48"/>
      <c r="D380" s="7">
        <f>D381</f>
        <v>412000</v>
      </c>
      <c r="E380" s="7">
        <f t="shared" ref="E380:H381" si="189">E381</f>
        <v>0</v>
      </c>
      <c r="F380" s="7">
        <f t="shared" si="160"/>
        <v>412000</v>
      </c>
      <c r="G380" s="7">
        <f t="shared" si="189"/>
        <v>0</v>
      </c>
      <c r="H380" s="7">
        <f t="shared" si="189"/>
        <v>0</v>
      </c>
      <c r="I380" s="16">
        <f t="shared" si="159"/>
        <v>0</v>
      </c>
      <c r="J380" s="7">
        <f t="shared" si="161"/>
        <v>412000</v>
      </c>
    </row>
    <row r="381" spans="1:10" s="10" customFormat="1" x14ac:dyDescent="0.25">
      <c r="A381" s="27" t="s">
        <v>1</v>
      </c>
      <c r="B381" s="14"/>
      <c r="C381" s="49" t="s">
        <v>2</v>
      </c>
      <c r="D381" s="7">
        <f>D382</f>
        <v>412000</v>
      </c>
      <c r="E381" s="7">
        <f t="shared" si="189"/>
        <v>0</v>
      </c>
      <c r="F381" s="7">
        <f t="shared" si="160"/>
        <v>412000</v>
      </c>
      <c r="G381" s="7">
        <f t="shared" si="189"/>
        <v>0</v>
      </c>
      <c r="H381" s="7">
        <f t="shared" si="189"/>
        <v>0</v>
      </c>
      <c r="I381" s="16">
        <f t="shared" si="159"/>
        <v>0</v>
      </c>
      <c r="J381" s="7">
        <f t="shared" si="161"/>
        <v>412000</v>
      </c>
    </row>
    <row r="382" spans="1:10" x14ac:dyDescent="0.25">
      <c r="A382" s="18" t="s">
        <v>100</v>
      </c>
      <c r="B382" s="17"/>
      <c r="C382" s="50" t="s">
        <v>111</v>
      </c>
      <c r="D382" s="16">
        <f>SUM(D383:D384)</f>
        <v>412000</v>
      </c>
      <c r="E382" s="16">
        <f t="shared" ref="E382:H382" si="190">SUM(E383:E384)</f>
        <v>0</v>
      </c>
      <c r="F382" s="7">
        <f t="shared" si="160"/>
        <v>412000</v>
      </c>
      <c r="G382" s="16">
        <f t="shared" si="190"/>
        <v>0</v>
      </c>
      <c r="H382" s="16">
        <f t="shared" si="190"/>
        <v>0</v>
      </c>
      <c r="I382" s="16">
        <f t="shared" si="159"/>
        <v>0</v>
      </c>
      <c r="J382" s="7">
        <f t="shared" si="161"/>
        <v>412000</v>
      </c>
    </row>
    <row r="383" spans="1:10" x14ac:dyDescent="0.25">
      <c r="A383" s="15"/>
      <c r="B383" s="9" t="s">
        <v>4</v>
      </c>
      <c r="C383" s="52" t="s">
        <v>5</v>
      </c>
      <c r="D383" s="16">
        <v>381160</v>
      </c>
      <c r="E383" s="16">
        <v>0</v>
      </c>
      <c r="F383" s="7">
        <f t="shared" si="160"/>
        <v>381160</v>
      </c>
      <c r="G383" s="16">
        <v>0</v>
      </c>
      <c r="H383" s="16">
        <v>0</v>
      </c>
      <c r="I383" s="16">
        <f t="shared" si="159"/>
        <v>0</v>
      </c>
      <c r="J383" s="7">
        <f t="shared" si="161"/>
        <v>381160</v>
      </c>
    </row>
    <row r="384" spans="1:10" x14ac:dyDescent="0.25">
      <c r="A384" s="15"/>
      <c r="B384" s="9" t="s">
        <v>6</v>
      </c>
      <c r="C384" s="52" t="s">
        <v>7</v>
      </c>
      <c r="D384" s="16">
        <v>30840</v>
      </c>
      <c r="E384" s="16">
        <v>0</v>
      </c>
      <c r="F384" s="7">
        <f t="shared" si="160"/>
        <v>30840</v>
      </c>
      <c r="G384" s="16">
        <v>0</v>
      </c>
      <c r="H384" s="16">
        <v>0</v>
      </c>
      <c r="I384" s="16">
        <f>SUM(G384:H384)</f>
        <v>0</v>
      </c>
      <c r="J384" s="7">
        <f t="shared" si="161"/>
        <v>30840</v>
      </c>
    </row>
  </sheetData>
  <autoFilter ref="A2:J384"/>
  <mergeCells count="5">
    <mergeCell ref="J4:J5"/>
    <mergeCell ref="A5:B5"/>
    <mergeCell ref="A4:C4"/>
    <mergeCell ref="D4:F4"/>
    <mergeCell ref="G4:I4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20"/>
  <sheetViews>
    <sheetView topLeftCell="A94" zoomScaleNormal="100" workbookViewId="0">
      <selection activeCell="L102" sqref="L102"/>
    </sheetView>
  </sheetViews>
  <sheetFormatPr defaultRowHeight="15" x14ac:dyDescent="0.25"/>
  <cols>
    <col min="1" max="1" width="5" style="316" bestFit="1" customWidth="1"/>
    <col min="2" max="2" width="50" style="316" customWidth="1"/>
    <col min="3" max="3" width="8.140625" style="317" bestFit="1" customWidth="1"/>
    <col min="4" max="4" width="10.5703125" style="316" customWidth="1"/>
    <col min="5" max="5" width="10.140625" style="316" bestFit="1" customWidth="1"/>
    <col min="6" max="16384" width="9.140625" style="316"/>
  </cols>
  <sheetData>
    <row r="2" spans="1:5" x14ac:dyDescent="0.25">
      <c r="A2" s="410" t="s">
        <v>446</v>
      </c>
      <c r="B2" s="410"/>
      <c r="C2" s="410"/>
      <c r="D2" s="410"/>
      <c r="E2" s="410"/>
    </row>
    <row r="3" spans="1:5" x14ac:dyDescent="0.25">
      <c r="A3" s="410" t="s">
        <v>248</v>
      </c>
      <c r="B3" s="410"/>
      <c r="C3" s="410"/>
      <c r="D3" s="410"/>
      <c r="E3" s="410"/>
    </row>
    <row r="5" spans="1:5" ht="30" x14ac:dyDescent="0.25">
      <c r="A5" s="318" t="s">
        <v>249</v>
      </c>
      <c r="B5" s="319" t="s">
        <v>250</v>
      </c>
      <c r="C5" s="318" t="s">
        <v>251</v>
      </c>
      <c r="D5" s="318" t="s">
        <v>252</v>
      </c>
      <c r="E5" s="318" t="s">
        <v>253</v>
      </c>
    </row>
    <row r="6" spans="1:5" ht="15" customHeight="1" x14ac:dyDescent="0.25">
      <c r="A6" s="411" t="s">
        <v>207</v>
      </c>
      <c r="B6" s="412"/>
      <c r="C6" s="318"/>
      <c r="D6" s="318"/>
      <c r="E6" s="321">
        <f>SUM(E7,E8,E11,E20,E33,E36,E66,E76,E86,E99)</f>
        <v>3556691</v>
      </c>
    </row>
    <row r="7" spans="1:5" ht="15" customHeight="1" x14ac:dyDescent="0.25">
      <c r="A7" s="411" t="s">
        <v>254</v>
      </c>
      <c r="B7" s="413"/>
      <c r="C7" s="318"/>
      <c r="D7" s="322" t="s">
        <v>105</v>
      </c>
      <c r="E7" s="323">
        <v>0</v>
      </c>
    </row>
    <row r="8" spans="1:5" x14ac:dyDescent="0.25">
      <c r="A8" s="414" t="s">
        <v>255</v>
      </c>
      <c r="B8" s="415"/>
      <c r="C8" s="324"/>
      <c r="D8" s="325" t="s">
        <v>105</v>
      </c>
      <c r="E8" s="326">
        <f>SUM(E9:E10)</f>
        <v>37500</v>
      </c>
    </row>
    <row r="9" spans="1:5" x14ac:dyDescent="0.25">
      <c r="A9" s="327"/>
      <c r="B9" s="328" t="s">
        <v>256</v>
      </c>
      <c r="C9" s="329" t="s">
        <v>12</v>
      </c>
      <c r="D9" s="330">
        <v>4500</v>
      </c>
      <c r="E9" s="331">
        <v>20000</v>
      </c>
    </row>
    <row r="10" spans="1:5" x14ac:dyDescent="0.25">
      <c r="A10" s="327"/>
      <c r="B10" s="332" t="s">
        <v>257</v>
      </c>
      <c r="C10" s="329" t="s">
        <v>19</v>
      </c>
      <c r="D10" s="330">
        <v>4521</v>
      </c>
      <c r="E10" s="331">
        <v>17500</v>
      </c>
    </row>
    <row r="11" spans="1:5" x14ac:dyDescent="0.25">
      <c r="A11" s="408" t="s">
        <v>258</v>
      </c>
      <c r="B11" s="408"/>
      <c r="C11" s="333"/>
      <c r="D11" s="325" t="s">
        <v>105</v>
      </c>
      <c r="E11" s="334">
        <f>SUM(E12:E19)</f>
        <v>56925</v>
      </c>
    </row>
    <row r="12" spans="1:5" x14ac:dyDescent="0.25">
      <c r="A12" s="335"/>
      <c r="B12" s="330" t="s">
        <v>259</v>
      </c>
      <c r="C12" s="329" t="s">
        <v>21</v>
      </c>
      <c r="D12" s="330">
        <v>4521</v>
      </c>
      <c r="E12" s="336">
        <v>8425</v>
      </c>
    </row>
    <row r="13" spans="1:5" x14ac:dyDescent="0.25">
      <c r="A13" s="335"/>
      <c r="B13" s="330" t="s">
        <v>260</v>
      </c>
      <c r="C13" s="329" t="s">
        <v>21</v>
      </c>
      <c r="D13" s="330">
        <v>4521</v>
      </c>
      <c r="E13" s="336">
        <v>15000</v>
      </c>
    </row>
    <row r="14" spans="1:5" x14ac:dyDescent="0.25">
      <c r="A14" s="335"/>
      <c r="B14" s="330" t="s">
        <v>479</v>
      </c>
      <c r="C14" s="329" t="s">
        <v>21</v>
      </c>
      <c r="D14" s="330">
        <v>4521</v>
      </c>
      <c r="E14" s="336">
        <v>10000</v>
      </c>
    </row>
    <row r="15" spans="1:5" x14ac:dyDescent="0.25">
      <c r="A15" s="335"/>
      <c r="B15" s="330" t="s">
        <v>262</v>
      </c>
      <c r="C15" s="329" t="s">
        <v>24</v>
      </c>
      <c r="D15" s="330">
        <v>4521</v>
      </c>
      <c r="E15" s="336">
        <v>8000</v>
      </c>
    </row>
    <row r="16" spans="1:5" x14ac:dyDescent="0.25">
      <c r="A16" s="335"/>
      <c r="B16" s="330" t="s">
        <v>261</v>
      </c>
      <c r="C16" s="329" t="s">
        <v>21</v>
      </c>
      <c r="D16" s="330">
        <v>4521</v>
      </c>
      <c r="E16" s="336">
        <v>5000</v>
      </c>
    </row>
    <row r="17" spans="1:5" x14ac:dyDescent="0.25">
      <c r="A17" s="335"/>
      <c r="B17" s="330" t="s">
        <v>480</v>
      </c>
      <c r="C17" s="329" t="s">
        <v>24</v>
      </c>
      <c r="D17" s="330">
        <v>4521</v>
      </c>
      <c r="E17" s="336">
        <v>6000</v>
      </c>
    </row>
    <row r="18" spans="1:5" x14ac:dyDescent="0.25">
      <c r="A18" s="335"/>
      <c r="B18" s="330" t="s">
        <v>481</v>
      </c>
      <c r="C18" s="329" t="s">
        <v>21</v>
      </c>
      <c r="D18" s="330">
        <v>4521</v>
      </c>
      <c r="E18" s="336">
        <v>3500</v>
      </c>
    </row>
    <row r="19" spans="1:5" x14ac:dyDescent="0.25">
      <c r="A19" s="335"/>
      <c r="B19" s="330" t="s">
        <v>482</v>
      </c>
      <c r="C19" s="329" t="s">
        <v>24</v>
      </c>
      <c r="D19" s="330">
        <v>4521</v>
      </c>
      <c r="E19" s="336">
        <v>1000</v>
      </c>
    </row>
    <row r="20" spans="1:5" x14ac:dyDescent="0.25">
      <c r="A20" s="408" t="s">
        <v>263</v>
      </c>
      <c r="B20" s="408"/>
      <c r="C20" s="337"/>
      <c r="D20" s="325" t="s">
        <v>105</v>
      </c>
      <c r="E20" s="334">
        <f>SUM(E21:E32)</f>
        <v>701200</v>
      </c>
    </row>
    <row r="21" spans="1:5" x14ac:dyDescent="0.25">
      <c r="A21" s="338"/>
      <c r="B21" s="330" t="s">
        <v>264</v>
      </c>
      <c r="C21" s="329" t="s">
        <v>24</v>
      </c>
      <c r="D21" s="330">
        <v>4521</v>
      </c>
      <c r="E21" s="336">
        <v>285000</v>
      </c>
    </row>
    <row r="22" spans="1:5" x14ac:dyDescent="0.25">
      <c r="A22" s="335"/>
      <c r="B22" s="330" t="s">
        <v>176</v>
      </c>
      <c r="C22" s="329" t="s">
        <v>12</v>
      </c>
      <c r="D22" s="330">
        <v>4500</v>
      </c>
      <c r="E22" s="336">
        <v>44375</v>
      </c>
    </row>
    <row r="23" spans="1:5" x14ac:dyDescent="0.25">
      <c r="A23" s="335"/>
      <c r="B23" s="330" t="s">
        <v>176</v>
      </c>
      <c r="C23" s="329" t="s">
        <v>12</v>
      </c>
      <c r="D23" s="330">
        <v>4521</v>
      </c>
      <c r="E23" s="336">
        <v>62000</v>
      </c>
    </row>
    <row r="24" spans="1:5" x14ac:dyDescent="0.25">
      <c r="A24" s="335"/>
      <c r="B24" s="330" t="s">
        <v>176</v>
      </c>
      <c r="C24" s="329" t="s">
        <v>12</v>
      </c>
      <c r="D24" s="330">
        <v>4502</v>
      </c>
      <c r="E24" s="336">
        <v>10825</v>
      </c>
    </row>
    <row r="25" spans="1:5" x14ac:dyDescent="0.25">
      <c r="A25" s="335"/>
      <c r="B25" s="330" t="s">
        <v>266</v>
      </c>
      <c r="C25" s="329" t="s">
        <v>12</v>
      </c>
      <c r="D25" s="330">
        <v>4521</v>
      </c>
      <c r="E25" s="336">
        <v>35000</v>
      </c>
    </row>
    <row r="26" spans="1:5" x14ac:dyDescent="0.25">
      <c r="A26" s="335"/>
      <c r="B26" s="330" t="s">
        <v>267</v>
      </c>
      <c r="C26" s="329" t="s">
        <v>12</v>
      </c>
      <c r="D26" s="330">
        <v>4500</v>
      </c>
      <c r="E26" s="336">
        <v>50000</v>
      </c>
    </row>
    <row r="27" spans="1:5" x14ac:dyDescent="0.25">
      <c r="A27" s="335"/>
      <c r="B27" s="330" t="s">
        <v>267</v>
      </c>
      <c r="C27" s="329" t="s">
        <v>12</v>
      </c>
      <c r="D27" s="330">
        <v>4521</v>
      </c>
      <c r="E27" s="336">
        <v>68000</v>
      </c>
    </row>
    <row r="28" spans="1:5" x14ac:dyDescent="0.25">
      <c r="A28" s="335"/>
      <c r="B28" s="330" t="s">
        <v>267</v>
      </c>
      <c r="C28" s="329" t="s">
        <v>12</v>
      </c>
      <c r="D28" s="330">
        <v>4502</v>
      </c>
      <c r="E28" s="336">
        <v>85000</v>
      </c>
    </row>
    <row r="29" spans="1:5" x14ac:dyDescent="0.25">
      <c r="A29" s="335"/>
      <c r="B29" s="330" t="s">
        <v>483</v>
      </c>
      <c r="C29" s="329" t="s">
        <v>12</v>
      </c>
      <c r="D29" s="330">
        <v>4500</v>
      </c>
      <c r="E29" s="336">
        <v>32000</v>
      </c>
    </row>
    <row r="30" spans="1:5" x14ac:dyDescent="0.25">
      <c r="A30" s="335"/>
      <c r="B30" s="320" t="s">
        <v>484</v>
      </c>
      <c r="C30" s="329" t="s">
        <v>12</v>
      </c>
      <c r="D30" s="330">
        <v>4521</v>
      </c>
      <c r="E30" s="336">
        <v>20000</v>
      </c>
    </row>
    <row r="31" spans="1:5" x14ac:dyDescent="0.25">
      <c r="A31" s="335"/>
      <c r="B31" s="330" t="s">
        <v>485</v>
      </c>
      <c r="C31" s="329" t="s">
        <v>12</v>
      </c>
      <c r="D31" s="330">
        <v>4521</v>
      </c>
      <c r="E31" s="336">
        <v>7000</v>
      </c>
    </row>
    <row r="32" spans="1:5" x14ac:dyDescent="0.25">
      <c r="A32" s="335"/>
      <c r="B32" s="330" t="s">
        <v>265</v>
      </c>
      <c r="C32" s="329" t="s">
        <v>12</v>
      </c>
      <c r="D32" s="330">
        <v>4521</v>
      </c>
      <c r="E32" s="336">
        <v>2000</v>
      </c>
    </row>
    <row r="33" spans="1:5" x14ac:dyDescent="0.25">
      <c r="A33" s="408" t="s">
        <v>268</v>
      </c>
      <c r="B33" s="408"/>
      <c r="C33" s="337"/>
      <c r="D33" s="325" t="s">
        <v>105</v>
      </c>
      <c r="E33" s="334">
        <f>SUM(E34:E35)</f>
        <v>20000</v>
      </c>
    </row>
    <row r="34" spans="1:5" x14ac:dyDescent="0.25">
      <c r="A34" s="335"/>
      <c r="B34" s="330" t="s">
        <v>260</v>
      </c>
      <c r="C34" s="329" t="s">
        <v>28</v>
      </c>
      <c r="D34" s="330">
        <v>4500</v>
      </c>
      <c r="E34" s="336">
        <v>10000</v>
      </c>
    </row>
    <row r="35" spans="1:5" x14ac:dyDescent="0.25">
      <c r="A35" s="335"/>
      <c r="B35" s="330" t="s">
        <v>260</v>
      </c>
      <c r="C35" s="329" t="s">
        <v>28</v>
      </c>
      <c r="D35" s="330">
        <v>4521</v>
      </c>
      <c r="E35" s="336">
        <v>10000</v>
      </c>
    </row>
    <row r="36" spans="1:5" x14ac:dyDescent="0.25">
      <c r="A36" s="408" t="s">
        <v>239</v>
      </c>
      <c r="B36" s="408"/>
      <c r="C36" s="337"/>
      <c r="D36" s="325" t="s">
        <v>105</v>
      </c>
      <c r="E36" s="334">
        <f>SUM(E37:E65)</f>
        <v>1541644</v>
      </c>
    </row>
    <row r="37" spans="1:5" x14ac:dyDescent="0.25">
      <c r="A37" s="335"/>
      <c r="B37" s="330" t="s">
        <v>269</v>
      </c>
      <c r="C37" s="329" t="s">
        <v>41</v>
      </c>
      <c r="D37" s="330">
        <v>4521</v>
      </c>
      <c r="E37" s="336">
        <v>477100</v>
      </c>
    </row>
    <row r="38" spans="1:5" x14ac:dyDescent="0.25">
      <c r="A38" s="335"/>
      <c r="B38" s="330" t="s">
        <v>269</v>
      </c>
      <c r="C38" s="329" t="s">
        <v>41</v>
      </c>
      <c r="D38" s="330">
        <v>4502</v>
      </c>
      <c r="E38" s="336">
        <v>80060</v>
      </c>
    </row>
    <row r="39" spans="1:5" x14ac:dyDescent="0.25">
      <c r="A39" s="335"/>
      <c r="B39" s="339" t="s">
        <v>486</v>
      </c>
      <c r="C39" s="329" t="s">
        <v>41</v>
      </c>
      <c r="D39" s="330">
        <v>4502</v>
      </c>
      <c r="E39" s="336">
        <v>8000</v>
      </c>
    </row>
    <row r="40" spans="1:5" x14ac:dyDescent="0.25">
      <c r="A40" s="335"/>
      <c r="B40" s="339" t="s">
        <v>270</v>
      </c>
      <c r="C40" s="329" t="s">
        <v>41</v>
      </c>
      <c r="D40" s="330">
        <v>4521</v>
      </c>
      <c r="E40" s="336">
        <v>20154</v>
      </c>
    </row>
    <row r="41" spans="1:5" x14ac:dyDescent="0.25">
      <c r="A41" s="335"/>
      <c r="B41" s="330" t="s">
        <v>271</v>
      </c>
      <c r="C41" s="329" t="s">
        <v>41</v>
      </c>
      <c r="D41" s="330">
        <v>4521</v>
      </c>
      <c r="E41" s="336">
        <v>10000</v>
      </c>
    </row>
    <row r="42" spans="1:5" x14ac:dyDescent="0.25">
      <c r="A42" s="335"/>
      <c r="B42" s="339" t="s">
        <v>272</v>
      </c>
      <c r="C42" s="329" t="s">
        <v>41</v>
      </c>
      <c r="D42" s="330">
        <v>4521</v>
      </c>
      <c r="E42" s="336">
        <v>10000</v>
      </c>
    </row>
    <row r="43" spans="1:5" x14ac:dyDescent="0.25">
      <c r="A43" s="335"/>
      <c r="B43" s="330" t="s">
        <v>273</v>
      </c>
      <c r="C43" s="329" t="s">
        <v>41</v>
      </c>
      <c r="D43" s="330">
        <v>4521</v>
      </c>
      <c r="E43" s="336">
        <v>10000</v>
      </c>
    </row>
    <row r="44" spans="1:5" x14ac:dyDescent="0.25">
      <c r="A44" s="335"/>
      <c r="B44" s="330" t="s">
        <v>274</v>
      </c>
      <c r="C44" s="329" t="s">
        <v>41</v>
      </c>
      <c r="D44" s="330">
        <v>4521</v>
      </c>
      <c r="E44" s="336">
        <v>10000</v>
      </c>
    </row>
    <row r="45" spans="1:5" x14ac:dyDescent="0.25">
      <c r="A45" s="335"/>
      <c r="B45" s="330" t="s">
        <v>275</v>
      </c>
      <c r="C45" s="329" t="s">
        <v>42</v>
      </c>
      <c r="D45" s="330">
        <v>4521</v>
      </c>
      <c r="E45" s="336">
        <v>177914</v>
      </c>
    </row>
    <row r="46" spans="1:5" x14ac:dyDescent="0.25">
      <c r="A46" s="335"/>
      <c r="B46" s="330" t="s">
        <v>275</v>
      </c>
      <c r="C46" s="329" t="s">
        <v>42</v>
      </c>
      <c r="D46" s="330">
        <v>4502</v>
      </c>
      <c r="E46" s="336">
        <v>257600</v>
      </c>
    </row>
    <row r="47" spans="1:5" x14ac:dyDescent="0.25">
      <c r="A47" s="335"/>
      <c r="B47" s="330" t="s">
        <v>487</v>
      </c>
      <c r="C47" s="329" t="s">
        <v>42</v>
      </c>
      <c r="D47" s="340">
        <v>4500</v>
      </c>
      <c r="E47" s="336">
        <v>5000</v>
      </c>
    </row>
    <row r="48" spans="1:5" x14ac:dyDescent="0.25">
      <c r="A48" s="335"/>
      <c r="B48" s="330" t="s">
        <v>278</v>
      </c>
      <c r="C48" s="329" t="s">
        <v>44</v>
      </c>
      <c r="D48" s="330">
        <v>4521</v>
      </c>
      <c r="E48" s="336">
        <v>4000</v>
      </c>
    </row>
    <row r="49" spans="1:5" x14ac:dyDescent="0.25">
      <c r="A49" s="335"/>
      <c r="B49" s="330" t="s">
        <v>488</v>
      </c>
      <c r="C49" s="329" t="s">
        <v>45</v>
      </c>
      <c r="D49" s="330">
        <v>4521</v>
      </c>
      <c r="E49" s="336">
        <v>3500</v>
      </c>
    </row>
    <row r="50" spans="1:5" x14ac:dyDescent="0.25">
      <c r="A50" s="335"/>
      <c r="B50" s="330" t="s">
        <v>489</v>
      </c>
      <c r="C50" s="329" t="s">
        <v>45</v>
      </c>
      <c r="D50" s="330">
        <v>4521</v>
      </c>
      <c r="E50" s="336">
        <v>1000</v>
      </c>
    </row>
    <row r="51" spans="1:5" x14ac:dyDescent="0.25">
      <c r="A51" s="335"/>
      <c r="B51" s="341" t="s">
        <v>490</v>
      </c>
      <c r="C51" s="329" t="s">
        <v>45</v>
      </c>
      <c r="D51" s="330">
        <v>4521</v>
      </c>
      <c r="E51" s="336">
        <v>1000</v>
      </c>
    </row>
    <row r="52" spans="1:5" x14ac:dyDescent="0.25">
      <c r="A52" s="335"/>
      <c r="B52" s="330" t="s">
        <v>414</v>
      </c>
      <c r="C52" s="329" t="s">
        <v>45</v>
      </c>
      <c r="D52" s="330">
        <v>4521</v>
      </c>
      <c r="E52" s="336">
        <v>1000</v>
      </c>
    </row>
    <row r="53" spans="1:5" x14ac:dyDescent="0.25">
      <c r="A53" s="335"/>
      <c r="B53" s="330" t="s">
        <v>491</v>
      </c>
      <c r="C53" s="329" t="s">
        <v>45</v>
      </c>
      <c r="D53" s="330">
        <v>4521</v>
      </c>
      <c r="E53" s="336">
        <v>1000</v>
      </c>
    </row>
    <row r="54" spans="1:5" x14ac:dyDescent="0.25">
      <c r="A54" s="335"/>
      <c r="B54" s="330" t="s">
        <v>492</v>
      </c>
      <c r="C54" s="329" t="s">
        <v>45</v>
      </c>
      <c r="D54" s="330">
        <v>4521</v>
      </c>
      <c r="E54" s="336">
        <v>3500</v>
      </c>
    </row>
    <row r="55" spans="1:5" x14ac:dyDescent="0.25">
      <c r="A55" s="335"/>
      <c r="B55" s="330" t="s">
        <v>493</v>
      </c>
      <c r="C55" s="329" t="s">
        <v>45</v>
      </c>
      <c r="D55" s="330">
        <v>4521</v>
      </c>
      <c r="E55" s="336">
        <v>1000</v>
      </c>
    </row>
    <row r="56" spans="1:5" x14ac:dyDescent="0.25">
      <c r="A56" s="335"/>
      <c r="B56" s="330" t="s">
        <v>279</v>
      </c>
      <c r="C56" s="329" t="s">
        <v>46</v>
      </c>
      <c r="D56" s="330">
        <v>4521</v>
      </c>
      <c r="E56" s="336">
        <v>1160</v>
      </c>
    </row>
    <row r="57" spans="1:5" x14ac:dyDescent="0.25">
      <c r="A57" s="335"/>
      <c r="B57" s="330" t="s">
        <v>280</v>
      </c>
      <c r="C57" s="329" t="s">
        <v>19</v>
      </c>
      <c r="D57" s="330">
        <v>4521</v>
      </c>
      <c r="E57" s="336">
        <v>23000</v>
      </c>
    </row>
    <row r="58" spans="1:5" x14ac:dyDescent="0.25">
      <c r="A58" s="335"/>
      <c r="B58" s="330" t="s">
        <v>281</v>
      </c>
      <c r="C58" s="329" t="s">
        <v>19</v>
      </c>
      <c r="D58" s="330">
        <v>4521</v>
      </c>
      <c r="E58" s="336">
        <v>10000</v>
      </c>
    </row>
    <row r="59" spans="1:5" x14ac:dyDescent="0.25">
      <c r="A59" s="335"/>
      <c r="B59" s="330" t="s">
        <v>282</v>
      </c>
      <c r="C59" s="329" t="s">
        <v>19</v>
      </c>
      <c r="D59" s="330">
        <v>4521</v>
      </c>
      <c r="E59" s="336">
        <v>21828</v>
      </c>
    </row>
    <row r="60" spans="1:5" x14ac:dyDescent="0.25">
      <c r="A60" s="335"/>
      <c r="B60" s="330" t="s">
        <v>285</v>
      </c>
      <c r="C60" s="329" t="s">
        <v>49</v>
      </c>
      <c r="D60" s="330">
        <v>4502</v>
      </c>
      <c r="E60" s="336">
        <v>15000</v>
      </c>
    </row>
    <row r="61" spans="1:5" x14ac:dyDescent="0.25">
      <c r="A61" s="335"/>
      <c r="B61" s="330" t="s">
        <v>286</v>
      </c>
      <c r="C61" s="329" t="s">
        <v>49</v>
      </c>
      <c r="D61" s="330">
        <v>4521</v>
      </c>
      <c r="E61" s="336">
        <v>6000</v>
      </c>
    </row>
    <row r="62" spans="1:5" x14ac:dyDescent="0.25">
      <c r="A62" s="335"/>
      <c r="B62" s="330" t="s">
        <v>283</v>
      </c>
      <c r="C62" s="329" t="s">
        <v>50</v>
      </c>
      <c r="D62" s="330">
        <v>4521</v>
      </c>
      <c r="E62" s="336">
        <v>116680</v>
      </c>
    </row>
    <row r="63" spans="1:5" x14ac:dyDescent="0.25">
      <c r="A63" s="335"/>
      <c r="B63" s="342" t="s">
        <v>284</v>
      </c>
      <c r="C63" s="329" t="s">
        <v>50</v>
      </c>
      <c r="D63" s="330">
        <v>4521</v>
      </c>
      <c r="E63" s="336">
        <v>15500</v>
      </c>
    </row>
    <row r="64" spans="1:5" x14ac:dyDescent="0.25">
      <c r="A64" s="335"/>
      <c r="B64" s="330" t="s">
        <v>277</v>
      </c>
      <c r="C64" s="329" t="s">
        <v>35</v>
      </c>
      <c r="D64" s="330">
        <v>4521</v>
      </c>
      <c r="E64" s="336">
        <v>50820</v>
      </c>
    </row>
    <row r="65" spans="1:5" x14ac:dyDescent="0.25">
      <c r="A65" s="335"/>
      <c r="B65" s="330" t="s">
        <v>276</v>
      </c>
      <c r="C65" s="329" t="s">
        <v>174</v>
      </c>
      <c r="D65" s="330">
        <v>4521</v>
      </c>
      <c r="E65" s="336">
        <f>69650+102249+27929</f>
        <v>199828</v>
      </c>
    </row>
    <row r="66" spans="1:5" x14ac:dyDescent="0.25">
      <c r="A66" s="408" t="s">
        <v>287</v>
      </c>
      <c r="B66" s="408"/>
      <c r="C66" s="337"/>
      <c r="D66" s="325" t="s">
        <v>105</v>
      </c>
      <c r="E66" s="334">
        <f>SUM(E67:E75)</f>
        <v>85300</v>
      </c>
    </row>
    <row r="67" spans="1:5" x14ac:dyDescent="0.25">
      <c r="A67" s="343"/>
      <c r="B67" s="330" t="s">
        <v>288</v>
      </c>
      <c r="C67" s="329" t="s">
        <v>55</v>
      </c>
      <c r="D67" s="330">
        <v>4521</v>
      </c>
      <c r="E67" s="336">
        <v>10000</v>
      </c>
    </row>
    <row r="68" spans="1:5" ht="17.25" customHeight="1" x14ac:dyDescent="0.25">
      <c r="A68" s="335"/>
      <c r="B68" s="330" t="s">
        <v>289</v>
      </c>
      <c r="C68" s="329" t="s">
        <v>63</v>
      </c>
      <c r="D68" s="330">
        <v>4500</v>
      </c>
      <c r="E68" s="336">
        <v>8000</v>
      </c>
    </row>
    <row r="69" spans="1:5" x14ac:dyDescent="0.25">
      <c r="A69" s="335"/>
      <c r="B69" s="330" t="s">
        <v>290</v>
      </c>
      <c r="C69" s="329" t="s">
        <v>63</v>
      </c>
      <c r="D69" s="330">
        <v>4521</v>
      </c>
      <c r="E69" s="336">
        <v>8000</v>
      </c>
    </row>
    <row r="70" spans="1:5" x14ac:dyDescent="0.25">
      <c r="A70" s="335"/>
      <c r="B70" s="330" t="s">
        <v>291</v>
      </c>
      <c r="C70" s="329" t="s">
        <v>63</v>
      </c>
      <c r="D70" s="330">
        <v>4521</v>
      </c>
      <c r="E70" s="336">
        <v>15000</v>
      </c>
    </row>
    <row r="71" spans="1:5" x14ac:dyDescent="0.25">
      <c r="A71" s="335"/>
      <c r="B71" s="330" t="s">
        <v>493</v>
      </c>
      <c r="C71" s="329" t="s">
        <v>63</v>
      </c>
      <c r="D71" s="330">
        <v>4500</v>
      </c>
      <c r="E71" s="336">
        <v>1500</v>
      </c>
    </row>
    <row r="72" spans="1:5" x14ac:dyDescent="0.25">
      <c r="A72" s="335"/>
      <c r="B72" s="330" t="s">
        <v>289</v>
      </c>
      <c r="C72" s="329" t="s">
        <v>64</v>
      </c>
      <c r="D72" s="330">
        <v>4500</v>
      </c>
      <c r="E72" s="336">
        <v>11800</v>
      </c>
    </row>
    <row r="73" spans="1:5" x14ac:dyDescent="0.25">
      <c r="A73" s="335"/>
      <c r="B73" s="330" t="s">
        <v>290</v>
      </c>
      <c r="C73" s="329" t="s">
        <v>64</v>
      </c>
      <c r="D73" s="330">
        <v>4500</v>
      </c>
      <c r="E73" s="336">
        <v>14000</v>
      </c>
    </row>
    <row r="74" spans="1:5" x14ac:dyDescent="0.25">
      <c r="A74" s="335"/>
      <c r="B74" s="330" t="s">
        <v>292</v>
      </c>
      <c r="C74" s="329" t="s">
        <v>67</v>
      </c>
      <c r="D74" s="330">
        <v>4521</v>
      </c>
      <c r="E74" s="336">
        <v>2000</v>
      </c>
    </row>
    <row r="75" spans="1:5" x14ac:dyDescent="0.25">
      <c r="A75" s="335"/>
      <c r="B75" s="330" t="s">
        <v>293</v>
      </c>
      <c r="C75" s="329" t="s">
        <v>65</v>
      </c>
      <c r="D75" s="330">
        <v>4502</v>
      </c>
      <c r="E75" s="336">
        <v>15000</v>
      </c>
    </row>
    <row r="76" spans="1:5" x14ac:dyDescent="0.25">
      <c r="A76" s="408" t="s">
        <v>294</v>
      </c>
      <c r="B76" s="408"/>
      <c r="C76" s="337"/>
      <c r="D76" s="325" t="s">
        <v>105</v>
      </c>
      <c r="E76" s="334">
        <f>SUM(E77:E85)</f>
        <v>238176</v>
      </c>
    </row>
    <row r="77" spans="1:5" x14ac:dyDescent="0.25">
      <c r="A77" s="335"/>
      <c r="B77" s="330" t="s">
        <v>295</v>
      </c>
      <c r="C77" s="329" t="s">
        <v>12</v>
      </c>
      <c r="D77" s="330">
        <v>4521</v>
      </c>
      <c r="E77" s="336">
        <v>34000</v>
      </c>
    </row>
    <row r="78" spans="1:5" x14ac:dyDescent="0.25">
      <c r="A78" s="335"/>
      <c r="B78" s="330" t="s">
        <v>260</v>
      </c>
      <c r="C78" s="329" t="s">
        <v>16</v>
      </c>
      <c r="D78" s="330">
        <v>4521</v>
      </c>
      <c r="E78" s="336">
        <v>2876</v>
      </c>
    </row>
    <row r="79" spans="1:5" x14ac:dyDescent="0.25">
      <c r="A79" s="335"/>
      <c r="B79" s="330" t="s">
        <v>296</v>
      </c>
      <c r="C79" s="329" t="s">
        <v>76</v>
      </c>
      <c r="D79" s="330">
        <v>4521</v>
      </c>
      <c r="E79" s="336">
        <v>6000</v>
      </c>
    </row>
    <row r="80" spans="1:5" x14ac:dyDescent="0.25">
      <c r="A80" s="335"/>
      <c r="B80" s="330" t="s">
        <v>494</v>
      </c>
      <c r="C80" s="329" t="s">
        <v>76</v>
      </c>
      <c r="D80" s="330">
        <v>4521</v>
      </c>
      <c r="E80" s="336">
        <v>2000</v>
      </c>
    </row>
    <row r="81" spans="1:5" x14ac:dyDescent="0.25">
      <c r="A81" s="335"/>
      <c r="B81" s="330" t="s">
        <v>297</v>
      </c>
      <c r="C81" s="329" t="s">
        <v>76</v>
      </c>
      <c r="D81" s="330">
        <v>4521</v>
      </c>
      <c r="E81" s="336">
        <v>3300</v>
      </c>
    </row>
    <row r="82" spans="1:5" x14ac:dyDescent="0.25">
      <c r="A82" s="335"/>
      <c r="B82" s="330" t="s">
        <v>273</v>
      </c>
      <c r="C82" s="329" t="s">
        <v>41</v>
      </c>
      <c r="D82" s="330">
        <v>4502</v>
      </c>
      <c r="E82" s="336">
        <v>20000</v>
      </c>
    </row>
    <row r="83" spans="1:5" x14ac:dyDescent="0.25">
      <c r="A83" s="335"/>
      <c r="B83" s="330" t="s">
        <v>282</v>
      </c>
      <c r="C83" s="329" t="s">
        <v>19</v>
      </c>
      <c r="D83" s="330">
        <v>4502</v>
      </c>
      <c r="E83" s="336">
        <v>100000</v>
      </c>
    </row>
    <row r="84" spans="1:5" x14ac:dyDescent="0.25">
      <c r="A84" s="335"/>
      <c r="B84" s="330" t="s">
        <v>495</v>
      </c>
      <c r="C84" s="329" t="s">
        <v>19</v>
      </c>
      <c r="D84" s="330">
        <v>4502</v>
      </c>
      <c r="E84" s="336">
        <v>50000</v>
      </c>
    </row>
    <row r="85" spans="1:5" x14ac:dyDescent="0.25">
      <c r="A85" s="335"/>
      <c r="B85" s="330" t="s">
        <v>496</v>
      </c>
      <c r="C85" s="329" t="s">
        <v>19</v>
      </c>
      <c r="D85" s="330">
        <v>4502</v>
      </c>
      <c r="E85" s="336">
        <v>20000</v>
      </c>
    </row>
    <row r="86" spans="1:5" x14ac:dyDescent="0.25">
      <c r="A86" s="409" t="s">
        <v>298</v>
      </c>
      <c r="B86" s="409"/>
      <c r="C86" s="344"/>
      <c r="D86" s="345" t="s">
        <v>105</v>
      </c>
      <c r="E86" s="346">
        <f>SUM(E87:E98)</f>
        <v>581942</v>
      </c>
    </row>
    <row r="87" spans="1:5" x14ac:dyDescent="0.25">
      <c r="A87" s="347"/>
      <c r="B87" s="339" t="s">
        <v>299</v>
      </c>
      <c r="C87" s="348" t="s">
        <v>80</v>
      </c>
      <c r="D87" s="330">
        <v>4521</v>
      </c>
      <c r="E87" s="349">
        <v>36000</v>
      </c>
    </row>
    <row r="88" spans="1:5" x14ac:dyDescent="0.25">
      <c r="A88" s="347"/>
      <c r="B88" s="339" t="s">
        <v>300</v>
      </c>
      <c r="C88" s="348" t="s">
        <v>55</v>
      </c>
      <c r="D88" s="330">
        <v>4521</v>
      </c>
      <c r="E88" s="349">
        <v>11060</v>
      </c>
    </row>
    <row r="89" spans="1:5" x14ac:dyDescent="0.25">
      <c r="A89" s="347"/>
      <c r="B89" s="339" t="s">
        <v>260</v>
      </c>
      <c r="C89" s="348" t="s">
        <v>41</v>
      </c>
      <c r="D89" s="339">
        <v>4502</v>
      </c>
      <c r="E89" s="349">
        <v>100000</v>
      </c>
    </row>
    <row r="90" spans="1:5" x14ac:dyDescent="0.25">
      <c r="A90" s="347"/>
      <c r="B90" s="339" t="s">
        <v>301</v>
      </c>
      <c r="C90" s="348" t="s">
        <v>42</v>
      </c>
      <c r="D90" s="330">
        <v>4521</v>
      </c>
      <c r="E90" s="349">
        <v>184000</v>
      </c>
    </row>
    <row r="91" spans="1:5" x14ac:dyDescent="0.25">
      <c r="A91" s="347"/>
      <c r="B91" s="339" t="s">
        <v>302</v>
      </c>
      <c r="C91" s="348" t="s">
        <v>48</v>
      </c>
      <c r="D91" s="330">
        <v>4521</v>
      </c>
      <c r="E91" s="349">
        <v>94000</v>
      </c>
    </row>
    <row r="92" spans="1:5" x14ac:dyDescent="0.25">
      <c r="A92" s="347"/>
      <c r="B92" s="330" t="s">
        <v>303</v>
      </c>
      <c r="C92" s="348" t="s">
        <v>82</v>
      </c>
      <c r="D92" s="330">
        <v>4521</v>
      </c>
      <c r="E92" s="349">
        <v>22500</v>
      </c>
    </row>
    <row r="93" spans="1:5" x14ac:dyDescent="0.25">
      <c r="A93" s="347"/>
      <c r="B93" s="339" t="s">
        <v>260</v>
      </c>
      <c r="C93" s="348" t="s">
        <v>46</v>
      </c>
      <c r="D93" s="330">
        <v>4521</v>
      </c>
      <c r="E93" s="349">
        <v>32000</v>
      </c>
    </row>
    <row r="94" spans="1:5" x14ac:dyDescent="0.25">
      <c r="A94" s="347"/>
      <c r="B94" s="339" t="s">
        <v>260</v>
      </c>
      <c r="C94" s="348" t="s">
        <v>81</v>
      </c>
      <c r="D94" s="330">
        <v>4521</v>
      </c>
      <c r="E94" s="349">
        <v>20000</v>
      </c>
    </row>
    <row r="95" spans="1:5" x14ac:dyDescent="0.25">
      <c r="A95" s="347"/>
      <c r="B95" s="339" t="s">
        <v>260</v>
      </c>
      <c r="C95" s="348" t="s">
        <v>83</v>
      </c>
      <c r="D95" s="330">
        <v>4521</v>
      </c>
      <c r="E95" s="349">
        <v>7500</v>
      </c>
    </row>
    <row r="96" spans="1:5" x14ac:dyDescent="0.25">
      <c r="A96" s="347"/>
      <c r="B96" s="339" t="s">
        <v>305</v>
      </c>
      <c r="C96" s="348" t="s">
        <v>83</v>
      </c>
      <c r="D96" s="339">
        <v>4500</v>
      </c>
      <c r="E96" s="349">
        <v>10600</v>
      </c>
    </row>
    <row r="97" spans="1:5" x14ac:dyDescent="0.25">
      <c r="A97" s="347"/>
      <c r="B97" s="339" t="s">
        <v>306</v>
      </c>
      <c r="C97" s="348" t="s">
        <v>83</v>
      </c>
      <c r="D97" s="339">
        <v>4500</v>
      </c>
      <c r="E97" s="349">
        <v>12782</v>
      </c>
    </row>
    <row r="98" spans="1:5" x14ac:dyDescent="0.25">
      <c r="A98" s="347"/>
      <c r="B98" s="339" t="s">
        <v>304</v>
      </c>
      <c r="C98" s="319">
        <v>10702</v>
      </c>
      <c r="D98" s="330">
        <v>4521</v>
      </c>
      <c r="E98" s="349">
        <v>51500</v>
      </c>
    </row>
    <row r="99" spans="1:5" x14ac:dyDescent="0.25">
      <c r="A99" s="406" t="s">
        <v>307</v>
      </c>
      <c r="B99" s="407"/>
      <c r="C99" s="337"/>
      <c r="D99" s="325" t="s">
        <v>308</v>
      </c>
      <c r="E99" s="334">
        <f>SUM(E100:E115)</f>
        <v>294004</v>
      </c>
    </row>
    <row r="100" spans="1:5" x14ac:dyDescent="0.25">
      <c r="A100" s="335"/>
      <c r="B100" s="330" t="s">
        <v>309</v>
      </c>
      <c r="C100" s="324">
        <v>10121</v>
      </c>
      <c r="D100" s="330">
        <v>4521</v>
      </c>
      <c r="E100" s="336">
        <v>11000</v>
      </c>
    </row>
    <row r="101" spans="1:5" x14ac:dyDescent="0.25">
      <c r="A101" s="335"/>
      <c r="B101" s="330" t="s">
        <v>309</v>
      </c>
      <c r="C101" s="324">
        <v>10200</v>
      </c>
      <c r="D101" s="330">
        <v>4521</v>
      </c>
      <c r="E101" s="336">
        <v>63000</v>
      </c>
    </row>
    <row r="102" spans="1:5" x14ac:dyDescent="0.25">
      <c r="A102" s="335"/>
      <c r="B102" s="330" t="s">
        <v>310</v>
      </c>
      <c r="C102" s="324">
        <v>10121</v>
      </c>
      <c r="D102" s="330">
        <v>4521</v>
      </c>
      <c r="E102" s="336">
        <v>3500</v>
      </c>
    </row>
    <row r="103" spans="1:5" x14ac:dyDescent="0.25">
      <c r="A103" s="335"/>
      <c r="B103" s="330" t="s">
        <v>311</v>
      </c>
      <c r="C103" s="324">
        <v>10121</v>
      </c>
      <c r="D103" s="330">
        <v>4521</v>
      </c>
      <c r="E103" s="336">
        <v>18000</v>
      </c>
    </row>
    <row r="104" spans="1:5" x14ac:dyDescent="0.25">
      <c r="A104" s="335"/>
      <c r="B104" s="342" t="s">
        <v>312</v>
      </c>
      <c r="C104" s="324">
        <v>10121</v>
      </c>
      <c r="D104" s="330">
        <v>4521</v>
      </c>
      <c r="E104" s="336">
        <v>7356</v>
      </c>
    </row>
    <row r="105" spans="1:5" x14ac:dyDescent="0.25">
      <c r="A105" s="335"/>
      <c r="B105" s="330" t="s">
        <v>313</v>
      </c>
      <c r="C105" s="324">
        <v>10200</v>
      </c>
      <c r="D105" s="330">
        <v>4521</v>
      </c>
      <c r="E105" s="336">
        <v>63000</v>
      </c>
    </row>
    <row r="106" spans="1:5" s="350" customFormat="1" x14ac:dyDescent="0.25">
      <c r="A106" s="335"/>
      <c r="B106" s="330" t="s">
        <v>314</v>
      </c>
      <c r="C106" s="324">
        <v>10201</v>
      </c>
      <c r="D106" s="330">
        <v>4521</v>
      </c>
      <c r="E106" s="336">
        <v>9000</v>
      </c>
    </row>
    <row r="107" spans="1:5" s="350" customFormat="1" x14ac:dyDescent="0.25">
      <c r="A107" s="335"/>
      <c r="B107" s="330" t="s">
        <v>497</v>
      </c>
      <c r="C107" s="324">
        <v>10402</v>
      </c>
      <c r="D107" s="330">
        <v>4521</v>
      </c>
      <c r="E107" s="336">
        <v>1500</v>
      </c>
    </row>
    <row r="108" spans="1:5" x14ac:dyDescent="0.25">
      <c r="A108" s="335"/>
      <c r="B108" s="339" t="s">
        <v>315</v>
      </c>
      <c r="C108" s="324">
        <v>10402</v>
      </c>
      <c r="D108" s="330">
        <v>4521</v>
      </c>
      <c r="E108" s="336">
        <v>4500</v>
      </c>
    </row>
    <row r="109" spans="1:5" x14ac:dyDescent="0.25">
      <c r="A109" s="335"/>
      <c r="B109" s="330" t="s">
        <v>316</v>
      </c>
      <c r="C109" s="324">
        <v>10402</v>
      </c>
      <c r="D109" s="330">
        <v>4521</v>
      </c>
      <c r="E109" s="336">
        <f>15000+20000</f>
        <v>35000</v>
      </c>
    </row>
    <row r="110" spans="1:5" x14ac:dyDescent="0.25">
      <c r="A110" s="335"/>
      <c r="B110" s="330" t="s">
        <v>317</v>
      </c>
      <c r="C110" s="324">
        <v>10402</v>
      </c>
      <c r="D110" s="330">
        <v>4521</v>
      </c>
      <c r="E110" s="336">
        <v>18750</v>
      </c>
    </row>
    <row r="111" spans="1:5" x14ac:dyDescent="0.25">
      <c r="A111" s="335"/>
      <c r="B111" s="330" t="s">
        <v>318</v>
      </c>
      <c r="C111" s="324">
        <v>10402</v>
      </c>
      <c r="D111" s="330">
        <v>4521</v>
      </c>
      <c r="E111" s="336">
        <v>5000</v>
      </c>
    </row>
    <row r="112" spans="1:5" x14ac:dyDescent="0.25">
      <c r="A112" s="335"/>
      <c r="B112" s="330" t="s">
        <v>498</v>
      </c>
      <c r="C112" s="324">
        <v>10402</v>
      </c>
      <c r="D112" s="330">
        <v>4521</v>
      </c>
      <c r="E112" s="336">
        <v>10000</v>
      </c>
    </row>
    <row r="113" spans="1:5" x14ac:dyDescent="0.25">
      <c r="A113" s="335"/>
      <c r="B113" s="339" t="s">
        <v>319</v>
      </c>
      <c r="C113" s="319">
        <v>10402</v>
      </c>
      <c r="D113" s="339">
        <v>4521</v>
      </c>
      <c r="E113" s="349">
        <v>16376</v>
      </c>
    </row>
    <row r="114" spans="1:5" x14ac:dyDescent="0.25">
      <c r="A114" s="335"/>
      <c r="B114" s="339" t="s">
        <v>499</v>
      </c>
      <c r="C114" s="319">
        <v>10402</v>
      </c>
      <c r="D114" s="339">
        <v>4521</v>
      </c>
      <c r="E114" s="349">
        <v>16262</v>
      </c>
    </row>
    <row r="115" spans="1:5" x14ac:dyDescent="0.25">
      <c r="A115" s="335"/>
      <c r="B115" s="339" t="s">
        <v>320</v>
      </c>
      <c r="C115" s="324">
        <v>10702</v>
      </c>
      <c r="D115" s="330">
        <v>4521</v>
      </c>
      <c r="E115" s="336">
        <v>11760</v>
      </c>
    </row>
    <row r="117" spans="1:5" ht="15.75" x14ac:dyDescent="0.25">
      <c r="A117" s="351"/>
    </row>
    <row r="118" spans="1:5" ht="15.75" x14ac:dyDescent="0.25">
      <c r="A118" s="351"/>
    </row>
    <row r="119" spans="1:5" x14ac:dyDescent="0.25">
      <c r="A119" s="352"/>
    </row>
    <row r="120" spans="1:5" x14ac:dyDescent="0.25">
      <c r="A120" s="352"/>
    </row>
  </sheetData>
  <mergeCells count="13">
    <mergeCell ref="A11:B11"/>
    <mergeCell ref="A2:E2"/>
    <mergeCell ref="A3:E3"/>
    <mergeCell ref="A6:B6"/>
    <mergeCell ref="A7:B7"/>
    <mergeCell ref="A8:B8"/>
    <mergeCell ref="A99:B99"/>
    <mergeCell ref="A20:B20"/>
    <mergeCell ref="A33:B33"/>
    <mergeCell ref="A36:B36"/>
    <mergeCell ref="A66:B66"/>
    <mergeCell ref="A76:B76"/>
    <mergeCell ref="A86:B86"/>
  </mergeCells>
  <pageMargins left="0.70866141732283472" right="0.70866141732283472" top="0.9448818897637796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opLeftCell="A95" zoomScale="90" zoomScaleNormal="90" workbookViewId="0">
      <selection activeCell="H8" sqref="H8"/>
    </sheetView>
  </sheetViews>
  <sheetFormatPr defaultRowHeight="15" x14ac:dyDescent="0.25"/>
  <cols>
    <col min="1" max="1" width="8" customWidth="1"/>
    <col min="2" max="2" width="7.28515625" style="29" customWidth="1"/>
    <col min="3" max="3" width="37.42578125" style="40" customWidth="1"/>
    <col min="4" max="4" width="11.28515625" style="6" bestFit="1" customWidth="1"/>
    <col min="5" max="5" width="8.140625" style="6" customWidth="1"/>
    <col min="6" max="6" width="11.28515625" style="6" bestFit="1" customWidth="1"/>
    <col min="7" max="7" width="10.5703125" style="6" customWidth="1"/>
    <col min="8" max="8" width="11.28515625" style="6" customWidth="1"/>
    <col min="9" max="9" width="11" style="6" customWidth="1"/>
    <col min="10" max="10" width="11.7109375" style="6" customWidth="1"/>
    <col min="12" max="12" width="9.85546875" bestFit="1" customWidth="1"/>
    <col min="13" max="13" width="18.85546875" customWidth="1"/>
  </cols>
  <sheetData>
    <row r="1" spans="1:13" s="2" customFormat="1" ht="15" customHeight="1" x14ac:dyDescent="0.25">
      <c r="B1" s="29"/>
      <c r="C1" s="280"/>
      <c r="D1" s="280"/>
      <c r="E1" s="280"/>
      <c r="F1" s="280"/>
      <c r="G1" s="280"/>
      <c r="H1" s="280"/>
      <c r="I1" s="6"/>
      <c r="J1" s="6"/>
    </row>
    <row r="2" spans="1:13" s="2" customFormat="1" ht="15" customHeight="1" x14ac:dyDescent="0.25">
      <c r="A2" s="282" t="s">
        <v>439</v>
      </c>
      <c r="B2" s="29"/>
      <c r="C2" s="280"/>
      <c r="D2" s="280"/>
      <c r="E2" s="280"/>
      <c r="F2" s="280"/>
      <c r="G2" s="280"/>
      <c r="H2" s="280"/>
      <c r="I2" s="6"/>
      <c r="J2" s="6"/>
    </row>
    <row r="3" spans="1:13" s="2" customFormat="1" ht="15.75" x14ac:dyDescent="0.25">
      <c r="A3" s="282" t="s">
        <v>434</v>
      </c>
      <c r="B3" s="29"/>
      <c r="C3" s="281"/>
      <c r="D3" s="281"/>
      <c r="E3" s="281"/>
      <c r="F3" s="281"/>
      <c r="G3" s="281"/>
      <c r="H3" s="281"/>
      <c r="I3" s="6"/>
      <c r="J3" s="6"/>
    </row>
    <row r="4" spans="1:13" x14ac:dyDescent="0.25">
      <c r="A4" s="41"/>
      <c r="B4" s="41"/>
      <c r="C4" s="42"/>
      <c r="D4" s="389" t="s">
        <v>188</v>
      </c>
      <c r="E4" s="389"/>
      <c r="F4" s="389"/>
      <c r="G4" s="389" t="s">
        <v>102</v>
      </c>
      <c r="H4" s="389"/>
      <c r="I4" s="389"/>
      <c r="J4" s="390" t="s">
        <v>190</v>
      </c>
    </row>
    <row r="5" spans="1:13" ht="30" x14ac:dyDescent="0.25">
      <c r="A5" s="42" t="s">
        <v>205</v>
      </c>
      <c r="B5" s="41" t="s">
        <v>191</v>
      </c>
      <c r="C5" s="42" t="s">
        <v>109</v>
      </c>
      <c r="D5" s="43" t="s">
        <v>103</v>
      </c>
      <c r="E5" s="43" t="s">
        <v>104</v>
      </c>
      <c r="F5" s="43" t="s">
        <v>105</v>
      </c>
      <c r="G5" s="43" t="s">
        <v>189</v>
      </c>
      <c r="H5" s="43" t="s">
        <v>192</v>
      </c>
      <c r="I5" s="43" t="s">
        <v>105</v>
      </c>
      <c r="J5" s="390"/>
    </row>
    <row r="6" spans="1:13" x14ac:dyDescent="0.25">
      <c r="A6" s="391" t="s">
        <v>193</v>
      </c>
      <c r="B6" s="392"/>
      <c r="C6" s="393"/>
      <c r="D6" s="36">
        <f t="shared" ref="D6:J6" si="0">D11+D19+D23+D27+D32+D48+D78+D82+D120+D128</f>
        <v>35894469</v>
      </c>
      <c r="E6" s="36">
        <f t="shared" si="0"/>
        <v>0</v>
      </c>
      <c r="F6" s="36">
        <f t="shared" si="0"/>
        <v>35894469</v>
      </c>
      <c r="G6" s="36">
        <f t="shared" si="0"/>
        <v>20000</v>
      </c>
      <c r="H6" s="36">
        <f t="shared" si="0"/>
        <v>9575941</v>
      </c>
      <c r="I6" s="36">
        <f t="shared" si="0"/>
        <v>9595941</v>
      </c>
      <c r="J6" s="36">
        <f t="shared" si="0"/>
        <v>45490410</v>
      </c>
      <c r="L6" s="6"/>
      <c r="M6" s="6"/>
    </row>
    <row r="7" spans="1:13" ht="30" x14ac:dyDescent="0.25">
      <c r="A7" s="31"/>
      <c r="B7" s="32" t="s">
        <v>34</v>
      </c>
      <c r="C7" s="37" t="s">
        <v>185</v>
      </c>
      <c r="D7" s="33">
        <f>D14+D17+D39+D43+D51+D54+D58+D62+D67+D70+D72+D74+D77+D81+D88+D91+D95+D100+D102+D105+D108+D110+D112+D114+D116+D119+D131+D133</f>
        <v>26769689</v>
      </c>
      <c r="E7" s="33">
        <f>E14+E17+E39+E43+E51+E54+E58+E62+E67+E70+E72+E74+E77+E81+E88+E91+E95+E100+E102+E105+E108+E110+E112+E114+E116+E119+E131+E133</f>
        <v>0</v>
      </c>
      <c r="F7" s="33">
        <f>F14+F17+F39+F43+F51+F54+F58+F62+F67+F70+F72+F74+F77+F81+F88+F91+F95+F100+F102+F105+F108+F110+F112+F114+F116+F119+F131+F133</f>
        <v>26769689</v>
      </c>
      <c r="G7" s="33">
        <f>G14+G17+G39+G43+G51+G54+G58+G62+G67+G70+G72+G74+G77+G81+G88+G91+G95+G100+G102+G105+G108+G110+G112+G114+G116+G119+G131+G133</f>
        <v>20000</v>
      </c>
      <c r="H7" s="33">
        <f>H14+H17+H39+H43+H51+H54+H58+H62+H67+H70+H72+H74+H77+H81+H88+H91+H95+H100+H102+H105+H108+H110+H112+H114+H116+H119+H131+H133+H30+H56+H60+H85+H98</f>
        <v>7075941</v>
      </c>
      <c r="I7" s="33">
        <f>I14+I17+I39+I43+I51+I54+I58+I62+I67+I70+I72+I74+I77+I81+I88+I91+I95+I100+I102+I105+I108+I110+I112+I114+I116+I119+I131+I133</f>
        <v>6814671</v>
      </c>
      <c r="J7" s="33">
        <f>J14+J17+J39+J43+J51+J54+J58+J62+J67+J70+J72+J74+J77+J81+J88+J91+J95+J100+J102+J105+J108+J110+J112+J114+J116+J119+J131+J133</f>
        <v>33584360</v>
      </c>
      <c r="L7" s="6"/>
      <c r="M7" s="6"/>
    </row>
    <row r="8" spans="1:13" x14ac:dyDescent="0.25">
      <c r="A8" s="31"/>
      <c r="B8" s="32">
        <v>6</v>
      </c>
      <c r="C8" s="37" t="s">
        <v>9</v>
      </c>
      <c r="D8" s="33">
        <f t="shared" ref="D8:J8" si="1">D31+D124</f>
        <v>860000</v>
      </c>
      <c r="E8" s="33">
        <f t="shared" si="1"/>
        <v>0</v>
      </c>
      <c r="F8" s="33">
        <f t="shared" si="1"/>
        <v>860000</v>
      </c>
      <c r="G8" s="33">
        <f t="shared" si="1"/>
        <v>0</v>
      </c>
      <c r="H8" s="33">
        <f t="shared" si="1"/>
        <v>0</v>
      </c>
      <c r="I8" s="33">
        <f t="shared" si="1"/>
        <v>0</v>
      </c>
      <c r="J8" s="33">
        <f t="shared" si="1"/>
        <v>860000</v>
      </c>
      <c r="L8" s="6"/>
      <c r="M8" s="6"/>
    </row>
    <row r="9" spans="1:13" x14ac:dyDescent="0.25">
      <c r="A9" s="31"/>
      <c r="B9" s="32">
        <v>4</v>
      </c>
      <c r="C9" s="37" t="s">
        <v>15</v>
      </c>
      <c r="D9" s="33">
        <f t="shared" ref="D9:J9" si="2">D18+D22+D26+D35+D37+D41+D45+D47+D65+D92+D96+D98+D103+D127</f>
        <v>1043485</v>
      </c>
      <c r="E9" s="33">
        <f t="shared" si="2"/>
        <v>0</v>
      </c>
      <c r="F9" s="33">
        <f t="shared" si="2"/>
        <v>1043485</v>
      </c>
      <c r="G9" s="33">
        <f t="shared" si="2"/>
        <v>0</v>
      </c>
      <c r="H9" s="33">
        <f t="shared" si="2"/>
        <v>2500000</v>
      </c>
      <c r="I9" s="33">
        <f t="shared" si="2"/>
        <v>2500000</v>
      </c>
      <c r="J9" s="33">
        <f t="shared" si="2"/>
        <v>3543485</v>
      </c>
      <c r="L9" s="6"/>
      <c r="M9" s="6"/>
    </row>
    <row r="10" spans="1:13" x14ac:dyDescent="0.25">
      <c r="A10" s="31"/>
      <c r="B10" s="32">
        <v>2</v>
      </c>
      <c r="C10" s="37" t="s">
        <v>186</v>
      </c>
      <c r="D10" s="33">
        <f>D123</f>
        <v>6489295</v>
      </c>
      <c r="E10" s="33">
        <f>E30+E123</f>
        <v>0</v>
      </c>
      <c r="F10" s="33">
        <f>D10+E10</f>
        <v>6489295</v>
      </c>
      <c r="G10" s="33">
        <f>G30+G123</f>
        <v>0</v>
      </c>
      <c r="H10" s="33">
        <f>H123</f>
        <v>0</v>
      </c>
      <c r="I10" s="33">
        <f>G10+H10</f>
        <v>0</v>
      </c>
      <c r="J10" s="33">
        <f>SUM(I10,F10)</f>
        <v>6489295</v>
      </c>
      <c r="L10" s="6"/>
      <c r="M10" s="6"/>
    </row>
    <row r="11" spans="1:13" s="10" customFormat="1" ht="29.25" customHeight="1" x14ac:dyDescent="0.25">
      <c r="A11" s="34" t="s">
        <v>52</v>
      </c>
      <c r="B11" s="35"/>
      <c r="C11" s="38"/>
      <c r="D11" s="36">
        <f>D12+D15</f>
        <v>546400</v>
      </c>
      <c r="E11" s="36">
        <f t="shared" ref="E11:J11" si="3">E12+E15</f>
        <v>0</v>
      </c>
      <c r="F11" s="36">
        <f t="shared" si="3"/>
        <v>546400</v>
      </c>
      <c r="G11" s="36">
        <f t="shared" si="3"/>
        <v>0</v>
      </c>
      <c r="H11" s="36">
        <f t="shared" si="3"/>
        <v>3159500</v>
      </c>
      <c r="I11" s="36">
        <f t="shared" si="3"/>
        <v>3159500</v>
      </c>
      <c r="J11" s="36">
        <f t="shared" si="3"/>
        <v>3705900</v>
      </c>
      <c r="L11" s="30"/>
      <c r="M11" s="6"/>
    </row>
    <row r="12" spans="1:13" s="10" customFormat="1" ht="27.75" customHeight="1" x14ac:dyDescent="0.25">
      <c r="A12" s="35" t="s">
        <v>1</v>
      </c>
      <c r="B12" s="35"/>
      <c r="C12" s="38" t="s">
        <v>2</v>
      </c>
      <c r="D12" s="36">
        <f>D13</f>
        <v>546400</v>
      </c>
      <c r="E12" s="36">
        <f t="shared" ref="E12:J13" si="4">E13</f>
        <v>0</v>
      </c>
      <c r="F12" s="36">
        <f t="shared" si="4"/>
        <v>546400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546400</v>
      </c>
      <c r="L12" s="30"/>
      <c r="M12" s="6"/>
    </row>
    <row r="13" spans="1:13" x14ac:dyDescent="0.25">
      <c r="A13" s="298" t="s">
        <v>3</v>
      </c>
      <c r="B13" s="298"/>
      <c r="C13" s="299" t="s">
        <v>112</v>
      </c>
      <c r="D13" s="60">
        <f>D14</f>
        <v>546400</v>
      </c>
      <c r="E13" s="60">
        <f t="shared" si="4"/>
        <v>0</v>
      </c>
      <c r="F13" s="60">
        <f t="shared" si="4"/>
        <v>546400</v>
      </c>
      <c r="G13" s="60">
        <f t="shared" si="4"/>
        <v>0</v>
      </c>
      <c r="H13" s="60">
        <f t="shared" si="4"/>
        <v>0</v>
      </c>
      <c r="I13" s="60">
        <f t="shared" si="4"/>
        <v>0</v>
      </c>
      <c r="J13" s="60">
        <f t="shared" si="4"/>
        <v>546400</v>
      </c>
      <c r="L13" s="6"/>
      <c r="M13" s="6"/>
    </row>
    <row r="14" spans="1:13" ht="30" x14ac:dyDescent="0.25">
      <c r="A14" s="32"/>
      <c r="B14" s="32" t="s">
        <v>34</v>
      </c>
      <c r="C14" s="37" t="s">
        <v>185</v>
      </c>
      <c r="D14" s="33">
        <v>546400</v>
      </c>
      <c r="E14" s="33">
        <v>0</v>
      </c>
      <c r="F14" s="33">
        <f>SUM(D14:E14)</f>
        <v>546400</v>
      </c>
      <c r="G14" s="33">
        <v>0</v>
      </c>
      <c r="H14" s="33">
        <v>0</v>
      </c>
      <c r="I14" s="33">
        <v>0</v>
      </c>
      <c r="J14" s="33">
        <f>SUM(I14,F14)</f>
        <v>546400</v>
      </c>
      <c r="L14" s="6"/>
      <c r="M14" s="6"/>
    </row>
    <row r="15" spans="1:13" s="10" customFormat="1" ht="24.75" customHeight="1" x14ac:dyDescent="0.25">
      <c r="A15" s="35" t="s">
        <v>10</v>
      </c>
      <c r="B15" s="35"/>
      <c r="C15" s="38" t="s">
        <v>11</v>
      </c>
      <c r="D15" s="36">
        <f>D16</f>
        <v>0</v>
      </c>
      <c r="E15" s="36">
        <f t="shared" ref="E15:J15" si="5">E16</f>
        <v>0</v>
      </c>
      <c r="F15" s="36">
        <f t="shared" si="5"/>
        <v>0</v>
      </c>
      <c r="G15" s="36">
        <f t="shared" si="5"/>
        <v>0</v>
      </c>
      <c r="H15" s="36">
        <f t="shared" si="5"/>
        <v>3159500</v>
      </c>
      <c r="I15" s="36">
        <f t="shared" si="5"/>
        <v>3159500</v>
      </c>
      <c r="J15" s="36">
        <f t="shared" si="5"/>
        <v>3159500</v>
      </c>
      <c r="L15" s="30"/>
      <c r="M15" s="6"/>
    </row>
    <row r="16" spans="1:13" x14ac:dyDescent="0.25">
      <c r="A16" s="298" t="s">
        <v>16</v>
      </c>
      <c r="B16" s="298"/>
      <c r="C16" s="299" t="s">
        <v>114</v>
      </c>
      <c r="D16" s="60">
        <f>SUM(D17:D18)</f>
        <v>0</v>
      </c>
      <c r="E16" s="60">
        <f t="shared" ref="E16:J16" si="6">SUM(E17:E18)</f>
        <v>0</v>
      </c>
      <c r="F16" s="60">
        <f t="shared" si="6"/>
        <v>0</v>
      </c>
      <c r="G16" s="60">
        <f t="shared" si="6"/>
        <v>0</v>
      </c>
      <c r="H16" s="60">
        <f t="shared" si="6"/>
        <v>3159500</v>
      </c>
      <c r="I16" s="60">
        <f t="shared" si="6"/>
        <v>3159500</v>
      </c>
      <c r="J16" s="60">
        <f t="shared" si="6"/>
        <v>3159500</v>
      </c>
      <c r="L16" s="6"/>
      <c r="M16" s="6"/>
    </row>
    <row r="17" spans="1:13" ht="30" x14ac:dyDescent="0.25">
      <c r="A17" s="32"/>
      <c r="B17" s="32" t="s">
        <v>34</v>
      </c>
      <c r="C17" s="37" t="s">
        <v>185</v>
      </c>
      <c r="D17" s="33">
        <v>0</v>
      </c>
      <c r="E17" s="33">
        <v>0</v>
      </c>
      <c r="F17" s="33">
        <v>0</v>
      </c>
      <c r="G17" s="33">
        <v>0</v>
      </c>
      <c r="H17" s="33">
        <v>659500</v>
      </c>
      <c r="I17" s="33">
        <f>SUM(G17:H17)</f>
        <v>659500</v>
      </c>
      <c r="J17" s="33">
        <f>SUM(I17,F17)</f>
        <v>659500</v>
      </c>
      <c r="L17" s="6"/>
      <c r="M17" s="6"/>
    </row>
    <row r="18" spans="1:13" x14ac:dyDescent="0.25">
      <c r="A18" s="32"/>
      <c r="B18" s="32">
        <v>4</v>
      </c>
      <c r="C18" s="37" t="s">
        <v>15</v>
      </c>
      <c r="D18" s="33">
        <v>0</v>
      </c>
      <c r="E18" s="33">
        <v>0</v>
      </c>
      <c r="F18" s="33">
        <v>0</v>
      </c>
      <c r="G18" s="33">
        <v>0</v>
      </c>
      <c r="H18" s="33">
        <v>2500000</v>
      </c>
      <c r="I18" s="33">
        <f>SUM(G18:H18)</f>
        <v>2500000</v>
      </c>
      <c r="J18" s="33">
        <f>SUM(I18,F18)</f>
        <v>2500000</v>
      </c>
      <c r="L18" s="6"/>
      <c r="M18" s="6"/>
    </row>
    <row r="19" spans="1:13" s="10" customFormat="1" ht="27" customHeight="1" x14ac:dyDescent="0.25">
      <c r="A19" s="34" t="s">
        <v>0</v>
      </c>
      <c r="B19" s="35"/>
      <c r="C19" s="38"/>
      <c r="D19" s="36">
        <f>D20</f>
        <v>60000</v>
      </c>
      <c r="E19" s="36">
        <f t="shared" ref="E19:J21" si="7">E20</f>
        <v>0</v>
      </c>
      <c r="F19" s="36">
        <f t="shared" si="7"/>
        <v>60000</v>
      </c>
      <c r="G19" s="36">
        <f t="shared" si="7"/>
        <v>0</v>
      </c>
      <c r="H19" s="36">
        <f t="shared" si="7"/>
        <v>0</v>
      </c>
      <c r="I19" s="36">
        <f t="shared" si="7"/>
        <v>0</v>
      </c>
      <c r="J19" s="36">
        <f t="shared" si="7"/>
        <v>60000</v>
      </c>
      <c r="L19" s="30"/>
      <c r="M19" s="6"/>
    </row>
    <row r="20" spans="1:13" s="10" customFormat="1" ht="24.75" customHeight="1" x14ac:dyDescent="0.25">
      <c r="A20" s="35" t="s">
        <v>17</v>
      </c>
      <c r="B20" s="35"/>
      <c r="C20" s="38" t="s">
        <v>194</v>
      </c>
      <c r="D20" s="36">
        <f>D21</f>
        <v>60000</v>
      </c>
      <c r="E20" s="36">
        <f t="shared" si="7"/>
        <v>0</v>
      </c>
      <c r="F20" s="36">
        <f t="shared" si="7"/>
        <v>60000</v>
      </c>
      <c r="G20" s="36">
        <f t="shared" si="7"/>
        <v>0</v>
      </c>
      <c r="H20" s="36">
        <f t="shared" si="7"/>
        <v>0</v>
      </c>
      <c r="I20" s="36">
        <f t="shared" si="7"/>
        <v>0</v>
      </c>
      <c r="J20" s="36">
        <f t="shared" si="7"/>
        <v>60000</v>
      </c>
      <c r="L20" s="30"/>
      <c r="M20" s="6"/>
    </row>
    <row r="21" spans="1:13" x14ac:dyDescent="0.25">
      <c r="A21" s="298" t="s">
        <v>19</v>
      </c>
      <c r="B21" s="298"/>
      <c r="C21" s="299" t="s">
        <v>115</v>
      </c>
      <c r="D21" s="60">
        <f>D22</f>
        <v>60000</v>
      </c>
      <c r="E21" s="60">
        <f t="shared" si="7"/>
        <v>0</v>
      </c>
      <c r="F21" s="60">
        <f t="shared" si="7"/>
        <v>60000</v>
      </c>
      <c r="G21" s="60">
        <f t="shared" si="7"/>
        <v>0</v>
      </c>
      <c r="H21" s="60">
        <f t="shared" si="7"/>
        <v>0</v>
      </c>
      <c r="I21" s="60">
        <f t="shared" si="7"/>
        <v>0</v>
      </c>
      <c r="J21" s="60">
        <f t="shared" si="7"/>
        <v>60000</v>
      </c>
      <c r="L21" s="6"/>
      <c r="M21" s="6"/>
    </row>
    <row r="22" spans="1:13" x14ac:dyDescent="0.25">
      <c r="A22" s="32"/>
      <c r="B22" s="32">
        <v>4</v>
      </c>
      <c r="C22" s="37" t="s">
        <v>15</v>
      </c>
      <c r="D22" s="33">
        <v>60000</v>
      </c>
      <c r="E22" s="33">
        <v>0</v>
      </c>
      <c r="F22" s="33">
        <f>SUM(D22:E22)</f>
        <v>60000</v>
      </c>
      <c r="G22" s="33">
        <v>0</v>
      </c>
      <c r="H22" s="33">
        <v>0</v>
      </c>
      <c r="I22" s="33">
        <v>0</v>
      </c>
      <c r="J22" s="33">
        <f>SUM(F22,I22)</f>
        <v>60000</v>
      </c>
      <c r="L22" s="6"/>
      <c r="M22" s="6"/>
    </row>
    <row r="23" spans="1:13" s="10" customFormat="1" ht="28.5" customHeight="1" x14ac:dyDescent="0.25">
      <c r="A23" s="34" t="s">
        <v>29</v>
      </c>
      <c r="B23" s="35"/>
      <c r="C23" s="38"/>
      <c r="D23" s="36">
        <f>D24</f>
        <v>155825</v>
      </c>
      <c r="E23" s="36">
        <f t="shared" ref="E23:J25" si="8">E24</f>
        <v>0</v>
      </c>
      <c r="F23" s="36">
        <f t="shared" si="8"/>
        <v>155825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155825</v>
      </c>
      <c r="L23" s="30"/>
      <c r="M23" s="6"/>
    </row>
    <row r="24" spans="1:13" s="10" customFormat="1" ht="27.75" customHeight="1" x14ac:dyDescent="0.25">
      <c r="A24" s="35" t="s">
        <v>10</v>
      </c>
      <c r="B24" s="35"/>
      <c r="C24" s="38" t="s">
        <v>11</v>
      </c>
      <c r="D24" s="36">
        <f>D25</f>
        <v>155825</v>
      </c>
      <c r="E24" s="36">
        <f t="shared" si="8"/>
        <v>0</v>
      </c>
      <c r="F24" s="36">
        <f t="shared" si="8"/>
        <v>155825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155825</v>
      </c>
      <c r="L24" s="30"/>
      <c r="M24" s="6"/>
    </row>
    <row r="25" spans="1:13" ht="30" x14ac:dyDescent="0.25">
      <c r="A25" s="298" t="s">
        <v>12</v>
      </c>
      <c r="B25" s="298"/>
      <c r="C25" s="299" t="s">
        <v>119</v>
      </c>
      <c r="D25" s="60">
        <f>D26</f>
        <v>155825</v>
      </c>
      <c r="E25" s="60">
        <f t="shared" si="8"/>
        <v>0</v>
      </c>
      <c r="F25" s="60">
        <f t="shared" si="8"/>
        <v>155825</v>
      </c>
      <c r="G25" s="60">
        <f t="shared" si="8"/>
        <v>0</v>
      </c>
      <c r="H25" s="60">
        <f t="shared" si="8"/>
        <v>0</v>
      </c>
      <c r="I25" s="60">
        <f t="shared" si="8"/>
        <v>0</v>
      </c>
      <c r="J25" s="60">
        <f t="shared" si="8"/>
        <v>155825</v>
      </c>
      <c r="L25" s="6"/>
      <c r="M25" s="6"/>
    </row>
    <row r="26" spans="1:13" x14ac:dyDescent="0.25">
      <c r="A26" s="32"/>
      <c r="B26" s="32">
        <v>4</v>
      </c>
      <c r="C26" s="37" t="s">
        <v>15</v>
      </c>
      <c r="D26" s="33">
        <v>155825</v>
      </c>
      <c r="E26" s="33">
        <v>0</v>
      </c>
      <c r="F26" s="33">
        <f>SUM(D26:E26)</f>
        <v>155825</v>
      </c>
      <c r="G26" s="33">
        <v>0</v>
      </c>
      <c r="H26" s="33">
        <v>0</v>
      </c>
      <c r="I26" s="33">
        <v>0</v>
      </c>
      <c r="J26" s="33">
        <f>SUM(F26,I26)</f>
        <v>155825</v>
      </c>
      <c r="L26" s="6"/>
      <c r="M26" s="6"/>
    </row>
    <row r="27" spans="1:13" s="10" customFormat="1" ht="24.75" customHeight="1" x14ac:dyDescent="0.25">
      <c r="A27" s="34" t="s">
        <v>30</v>
      </c>
      <c r="B27" s="35"/>
      <c r="C27" s="38"/>
      <c r="D27" s="36">
        <f>D28</f>
        <v>0</v>
      </c>
      <c r="E27" s="36">
        <f t="shared" ref="E27:J28" si="9">E28</f>
        <v>0</v>
      </c>
      <c r="F27" s="36">
        <f t="shared" si="9"/>
        <v>0</v>
      </c>
      <c r="G27" s="36">
        <f t="shared" si="9"/>
        <v>0</v>
      </c>
      <c r="H27" s="36">
        <f t="shared" si="9"/>
        <v>240270</v>
      </c>
      <c r="I27" s="36">
        <f t="shared" si="9"/>
        <v>240270</v>
      </c>
      <c r="J27" s="36">
        <f t="shared" si="9"/>
        <v>240270</v>
      </c>
      <c r="L27" s="30"/>
      <c r="M27" s="6"/>
    </row>
    <row r="28" spans="1:13" s="10" customFormat="1" ht="25.5" customHeight="1" x14ac:dyDescent="0.25">
      <c r="A28" s="300" t="s">
        <v>26</v>
      </c>
      <c r="B28" s="35"/>
      <c r="C28" s="38" t="s">
        <v>27</v>
      </c>
      <c r="D28" s="36">
        <f>D29</f>
        <v>0</v>
      </c>
      <c r="E28" s="36"/>
      <c r="F28" s="36">
        <f t="shared" si="9"/>
        <v>0</v>
      </c>
      <c r="G28" s="36">
        <f t="shared" si="9"/>
        <v>0</v>
      </c>
      <c r="H28" s="36">
        <f t="shared" si="9"/>
        <v>240270</v>
      </c>
      <c r="I28" s="36">
        <f t="shared" si="9"/>
        <v>240270</v>
      </c>
      <c r="J28" s="36">
        <f t="shared" si="9"/>
        <v>240270</v>
      </c>
      <c r="L28" s="30"/>
      <c r="M28" s="6"/>
    </row>
    <row r="29" spans="1:13" x14ac:dyDescent="0.25">
      <c r="A29" s="302" t="s">
        <v>184</v>
      </c>
      <c r="B29" s="32"/>
      <c r="C29" s="299" t="s">
        <v>471</v>
      </c>
      <c r="D29" s="60">
        <f>SUM(D30:D31)</f>
        <v>0</v>
      </c>
      <c r="E29" s="60">
        <f t="shared" ref="E29:J29" si="10">SUM(E30:E31)</f>
        <v>0</v>
      </c>
      <c r="F29" s="60">
        <f t="shared" si="10"/>
        <v>0</v>
      </c>
      <c r="G29" s="60">
        <f t="shared" si="10"/>
        <v>0</v>
      </c>
      <c r="H29" s="60">
        <f t="shared" si="10"/>
        <v>240270</v>
      </c>
      <c r="I29" s="60">
        <f t="shared" si="10"/>
        <v>240270</v>
      </c>
      <c r="J29" s="60">
        <f t="shared" si="10"/>
        <v>240270</v>
      </c>
      <c r="L29" s="6"/>
      <c r="M29" s="6"/>
    </row>
    <row r="30" spans="1:13" ht="30" x14ac:dyDescent="0.25">
      <c r="A30" s="31"/>
      <c r="B30" s="32" t="s">
        <v>34</v>
      </c>
      <c r="C30" s="37" t="s">
        <v>185</v>
      </c>
      <c r="D30" s="33"/>
      <c r="E30" s="33">
        <v>0</v>
      </c>
      <c r="F30" s="33">
        <f>SUM(D30:E30)</f>
        <v>0</v>
      </c>
      <c r="G30" s="33">
        <v>0</v>
      </c>
      <c r="H30" s="33">
        <v>240270</v>
      </c>
      <c r="I30" s="33">
        <f>SUM(G30:H30)</f>
        <v>240270</v>
      </c>
      <c r="J30" s="33">
        <f>SUM(I30,F30)</f>
        <v>240270</v>
      </c>
      <c r="L30" s="6"/>
      <c r="M30" s="6"/>
    </row>
    <row r="31" spans="1:13" hidden="1" x14ac:dyDescent="0.25">
      <c r="A31" s="31"/>
      <c r="B31" s="32">
        <v>6</v>
      </c>
      <c r="C31" s="37" t="s">
        <v>9</v>
      </c>
      <c r="D31" s="33"/>
      <c r="E31" s="33">
        <v>0</v>
      </c>
      <c r="F31" s="33">
        <f>SUM(D31:E31)</f>
        <v>0</v>
      </c>
      <c r="G31" s="33">
        <v>0</v>
      </c>
      <c r="H31" s="33">
        <v>0</v>
      </c>
      <c r="I31" s="33">
        <v>0</v>
      </c>
      <c r="J31" s="33">
        <f>SUM(I31,F31)</f>
        <v>0</v>
      </c>
      <c r="L31" s="6"/>
      <c r="M31" s="6"/>
    </row>
    <row r="32" spans="1:13" s="10" customFormat="1" ht="27.75" customHeight="1" x14ac:dyDescent="0.25">
      <c r="A32" s="34" t="s">
        <v>40</v>
      </c>
      <c r="B32" s="35"/>
      <c r="C32" s="38"/>
      <c r="D32" s="36">
        <f>D33</f>
        <v>447709</v>
      </c>
      <c r="E32" s="36">
        <f t="shared" ref="E32:J32" si="11">E33</f>
        <v>0</v>
      </c>
      <c r="F32" s="36">
        <f t="shared" si="11"/>
        <v>447709</v>
      </c>
      <c r="G32" s="36">
        <f t="shared" si="11"/>
        <v>0</v>
      </c>
      <c r="H32" s="36">
        <f t="shared" si="11"/>
        <v>0</v>
      </c>
      <c r="I32" s="36">
        <f t="shared" si="11"/>
        <v>0</v>
      </c>
      <c r="J32" s="36">
        <f t="shared" si="11"/>
        <v>447709</v>
      </c>
      <c r="L32" s="30"/>
      <c r="M32" s="6"/>
    </row>
    <row r="33" spans="1:13" s="10" customFormat="1" ht="25.5" customHeight="1" x14ac:dyDescent="0.25">
      <c r="A33" s="35" t="s">
        <v>17</v>
      </c>
      <c r="B33" s="35"/>
      <c r="C33" s="38" t="s">
        <v>194</v>
      </c>
      <c r="D33" s="36">
        <f>D34+D36+D38+D40+D42+D44+D46</f>
        <v>447709</v>
      </c>
      <c r="E33" s="36">
        <f t="shared" ref="E33:J33" si="12">E34+E36+E38+E40+E42+E44+E46</f>
        <v>0</v>
      </c>
      <c r="F33" s="36">
        <f t="shared" si="12"/>
        <v>447709</v>
      </c>
      <c r="G33" s="36">
        <f t="shared" si="12"/>
        <v>0</v>
      </c>
      <c r="H33" s="36">
        <f t="shared" si="12"/>
        <v>0</v>
      </c>
      <c r="I33" s="36">
        <f t="shared" si="12"/>
        <v>0</v>
      </c>
      <c r="J33" s="36">
        <f t="shared" si="12"/>
        <v>447709</v>
      </c>
      <c r="L33" s="30"/>
      <c r="M33" s="6"/>
    </row>
    <row r="34" spans="1:13" x14ac:dyDescent="0.25">
      <c r="A34" s="298" t="s">
        <v>41</v>
      </c>
      <c r="B34" s="32"/>
      <c r="C34" s="299" t="s">
        <v>128</v>
      </c>
      <c r="D34" s="60">
        <f>D35</f>
        <v>88060</v>
      </c>
      <c r="E34" s="60">
        <f t="shared" ref="E34:J34" si="13">E35</f>
        <v>0</v>
      </c>
      <c r="F34" s="60">
        <f t="shared" si="13"/>
        <v>88060</v>
      </c>
      <c r="G34" s="60">
        <f t="shared" si="13"/>
        <v>0</v>
      </c>
      <c r="H34" s="60">
        <f t="shared" si="13"/>
        <v>0</v>
      </c>
      <c r="I34" s="60">
        <f t="shared" si="13"/>
        <v>0</v>
      </c>
      <c r="J34" s="60">
        <f t="shared" si="13"/>
        <v>88060</v>
      </c>
      <c r="L34" s="6"/>
      <c r="M34" s="6"/>
    </row>
    <row r="35" spans="1:13" x14ac:dyDescent="0.25">
      <c r="A35" s="32"/>
      <c r="B35" s="32">
        <v>4</v>
      </c>
      <c r="C35" s="37" t="s">
        <v>15</v>
      </c>
      <c r="D35" s="33">
        <v>88060</v>
      </c>
      <c r="E35" s="33">
        <v>0</v>
      </c>
      <c r="F35" s="33">
        <f>SUM(D35:E35)</f>
        <v>88060</v>
      </c>
      <c r="G35" s="33">
        <v>0</v>
      </c>
      <c r="H35" s="33">
        <v>0</v>
      </c>
      <c r="I35" s="33">
        <v>0</v>
      </c>
      <c r="J35" s="33">
        <f>SUM(I35,F35)</f>
        <v>88060</v>
      </c>
      <c r="L35" s="6"/>
      <c r="M35" s="6"/>
    </row>
    <row r="36" spans="1:13" x14ac:dyDescent="0.25">
      <c r="A36" s="298" t="s">
        <v>42</v>
      </c>
      <c r="B36" s="32"/>
      <c r="C36" s="299" t="s">
        <v>129</v>
      </c>
      <c r="D36" s="60">
        <f>D37</f>
        <v>262600</v>
      </c>
      <c r="E36" s="60">
        <f t="shared" ref="E36:J36" si="14">E37</f>
        <v>0</v>
      </c>
      <c r="F36" s="60">
        <f t="shared" si="14"/>
        <v>262600</v>
      </c>
      <c r="G36" s="60">
        <f t="shared" si="14"/>
        <v>0</v>
      </c>
      <c r="H36" s="60">
        <f t="shared" si="14"/>
        <v>0</v>
      </c>
      <c r="I36" s="60">
        <f t="shared" si="14"/>
        <v>0</v>
      </c>
      <c r="J36" s="60">
        <f t="shared" si="14"/>
        <v>262600</v>
      </c>
      <c r="L36" s="6"/>
      <c r="M36" s="6"/>
    </row>
    <row r="37" spans="1:13" x14ac:dyDescent="0.25">
      <c r="A37" s="298"/>
      <c r="B37" s="32">
        <v>4</v>
      </c>
      <c r="C37" s="37" t="s">
        <v>15</v>
      </c>
      <c r="D37" s="33">
        <v>262600</v>
      </c>
      <c r="E37" s="33">
        <v>0</v>
      </c>
      <c r="F37" s="33">
        <f>SUM(D37:E37)</f>
        <v>262600</v>
      </c>
      <c r="G37" s="33">
        <v>0</v>
      </c>
      <c r="H37" s="33">
        <v>0</v>
      </c>
      <c r="I37" s="33">
        <v>0</v>
      </c>
      <c r="J37" s="33">
        <f>SUM(I37,F37)</f>
        <v>262600</v>
      </c>
      <c r="L37" s="6"/>
      <c r="M37" s="6"/>
    </row>
    <row r="38" spans="1:13" ht="30" x14ac:dyDescent="0.25">
      <c r="A38" s="298" t="s">
        <v>44</v>
      </c>
      <c r="B38" s="32"/>
      <c r="C38" s="299" t="s">
        <v>196</v>
      </c>
      <c r="D38" s="60">
        <f>D39</f>
        <v>10000</v>
      </c>
      <c r="E38" s="60">
        <f t="shared" ref="E38:J38" si="15">E39</f>
        <v>0</v>
      </c>
      <c r="F38" s="60">
        <f t="shared" si="15"/>
        <v>10000</v>
      </c>
      <c r="G38" s="60">
        <f t="shared" si="15"/>
        <v>0</v>
      </c>
      <c r="H38" s="60">
        <f t="shared" si="15"/>
        <v>0</v>
      </c>
      <c r="I38" s="60">
        <f t="shared" si="15"/>
        <v>0</v>
      </c>
      <c r="J38" s="60">
        <f t="shared" si="15"/>
        <v>10000</v>
      </c>
      <c r="L38" s="6"/>
      <c r="M38" s="6"/>
    </row>
    <row r="39" spans="1:13" ht="30" x14ac:dyDescent="0.25">
      <c r="A39" s="298"/>
      <c r="B39" s="32" t="s">
        <v>34</v>
      </c>
      <c r="C39" s="37" t="s">
        <v>185</v>
      </c>
      <c r="D39" s="33">
        <v>10000</v>
      </c>
      <c r="E39" s="33">
        <v>0</v>
      </c>
      <c r="F39" s="33">
        <f>SUM(D39:E39)</f>
        <v>10000</v>
      </c>
      <c r="G39" s="33">
        <v>0</v>
      </c>
      <c r="H39" s="33">
        <v>0</v>
      </c>
      <c r="I39" s="33">
        <v>0</v>
      </c>
      <c r="J39" s="33">
        <f>SUM(I39,F39)</f>
        <v>10000</v>
      </c>
      <c r="L39" s="6"/>
      <c r="M39" s="6"/>
    </row>
    <row r="40" spans="1:13" s="289" customFormat="1" x14ac:dyDescent="0.25">
      <c r="A40" s="298" t="s">
        <v>45</v>
      </c>
      <c r="B40" s="298"/>
      <c r="C40" s="299" t="s">
        <v>197</v>
      </c>
      <c r="D40" s="60">
        <f>D41</f>
        <v>20000</v>
      </c>
      <c r="E40" s="60">
        <f t="shared" ref="E40:J40" si="16">E41</f>
        <v>0</v>
      </c>
      <c r="F40" s="60">
        <f t="shared" si="16"/>
        <v>20000</v>
      </c>
      <c r="G40" s="60">
        <f t="shared" si="16"/>
        <v>0</v>
      </c>
      <c r="H40" s="60">
        <f t="shared" si="16"/>
        <v>0</v>
      </c>
      <c r="I40" s="60">
        <f t="shared" si="16"/>
        <v>0</v>
      </c>
      <c r="J40" s="60">
        <f t="shared" si="16"/>
        <v>20000</v>
      </c>
      <c r="L40" s="301"/>
      <c r="M40" s="301"/>
    </row>
    <row r="41" spans="1:13" x14ac:dyDescent="0.25">
      <c r="A41" s="298"/>
      <c r="B41" s="32">
        <v>4</v>
      </c>
      <c r="C41" s="37" t="s">
        <v>15</v>
      </c>
      <c r="D41" s="33">
        <v>20000</v>
      </c>
      <c r="E41" s="33">
        <v>0</v>
      </c>
      <c r="F41" s="33">
        <v>20000</v>
      </c>
      <c r="G41" s="33">
        <v>0</v>
      </c>
      <c r="H41" s="33">
        <v>0</v>
      </c>
      <c r="I41" s="33">
        <v>0</v>
      </c>
      <c r="J41" s="33">
        <v>20000</v>
      </c>
      <c r="L41" s="6"/>
      <c r="M41" s="6"/>
    </row>
    <row r="42" spans="1:13" x14ac:dyDescent="0.25">
      <c r="A42" s="298" t="s">
        <v>46</v>
      </c>
      <c r="B42" s="32"/>
      <c r="C42" s="299" t="s">
        <v>131</v>
      </c>
      <c r="D42" s="60">
        <f>D43</f>
        <v>52049</v>
      </c>
      <c r="E42" s="60">
        <f t="shared" ref="E42:J42" si="17">E43</f>
        <v>0</v>
      </c>
      <c r="F42" s="60">
        <f t="shared" si="17"/>
        <v>52049</v>
      </c>
      <c r="G42" s="60">
        <f t="shared" si="17"/>
        <v>0</v>
      </c>
      <c r="H42" s="60">
        <f t="shared" si="17"/>
        <v>0</v>
      </c>
      <c r="I42" s="60">
        <f t="shared" si="17"/>
        <v>0</v>
      </c>
      <c r="J42" s="60">
        <f t="shared" si="17"/>
        <v>52049</v>
      </c>
      <c r="L42" s="6"/>
      <c r="M42" s="6"/>
    </row>
    <row r="43" spans="1:13" ht="30" x14ac:dyDescent="0.25">
      <c r="A43" s="298"/>
      <c r="B43" s="32" t="s">
        <v>34</v>
      </c>
      <c r="C43" s="37" t="s">
        <v>185</v>
      </c>
      <c r="D43" s="33">
        <v>52049</v>
      </c>
      <c r="E43" s="33">
        <v>0</v>
      </c>
      <c r="F43" s="33">
        <f>SUM(D43:E43)</f>
        <v>52049</v>
      </c>
      <c r="G43" s="33">
        <v>0</v>
      </c>
      <c r="H43" s="33">
        <v>0</v>
      </c>
      <c r="I43" s="33">
        <v>0</v>
      </c>
      <c r="J43" s="33">
        <f>SUM(I43,F43)</f>
        <v>52049</v>
      </c>
      <c r="L43" s="6"/>
      <c r="M43" s="6"/>
    </row>
    <row r="44" spans="1:13" x14ac:dyDescent="0.25">
      <c r="A44" s="298" t="s">
        <v>177</v>
      </c>
      <c r="B44" s="32"/>
      <c r="C44" s="37" t="s">
        <v>198</v>
      </c>
      <c r="D44" s="33">
        <f>D45</f>
        <v>0</v>
      </c>
      <c r="E44" s="33">
        <f t="shared" ref="E44:J44" si="18">E45</f>
        <v>0</v>
      </c>
      <c r="F44" s="33">
        <f t="shared" si="18"/>
        <v>0</v>
      </c>
      <c r="G44" s="33">
        <f t="shared" si="18"/>
        <v>0</v>
      </c>
      <c r="H44" s="33">
        <f t="shared" si="18"/>
        <v>0</v>
      </c>
      <c r="I44" s="33">
        <f t="shared" si="18"/>
        <v>0</v>
      </c>
      <c r="J44" s="33">
        <f t="shared" si="18"/>
        <v>0</v>
      </c>
      <c r="L44" s="6"/>
      <c r="M44" s="6"/>
    </row>
    <row r="45" spans="1:13" x14ac:dyDescent="0.25">
      <c r="A45" s="298"/>
      <c r="B45" s="32">
        <v>4</v>
      </c>
      <c r="C45" s="37" t="s">
        <v>15</v>
      </c>
      <c r="D45" s="33"/>
      <c r="E45" s="33">
        <v>0</v>
      </c>
      <c r="F45" s="33">
        <f>SUM(D45:E45)</f>
        <v>0</v>
      </c>
      <c r="G45" s="33">
        <v>0</v>
      </c>
      <c r="H45" s="33">
        <v>0</v>
      </c>
      <c r="I45" s="33">
        <v>0</v>
      </c>
      <c r="J45" s="33">
        <f>SUM(I45,F45)</f>
        <v>0</v>
      </c>
      <c r="L45" s="6"/>
      <c r="M45" s="6"/>
    </row>
    <row r="46" spans="1:13" x14ac:dyDescent="0.25">
      <c r="A46" s="298" t="s">
        <v>49</v>
      </c>
      <c r="B46" s="32"/>
      <c r="C46" s="37" t="s">
        <v>133</v>
      </c>
      <c r="D46" s="33">
        <f>D47</f>
        <v>15000</v>
      </c>
      <c r="E46" s="33">
        <f t="shared" ref="E46:J46" si="19">E47</f>
        <v>0</v>
      </c>
      <c r="F46" s="33">
        <f t="shared" si="19"/>
        <v>15000</v>
      </c>
      <c r="G46" s="33">
        <f t="shared" si="19"/>
        <v>0</v>
      </c>
      <c r="H46" s="33">
        <f t="shared" si="19"/>
        <v>0</v>
      </c>
      <c r="I46" s="33">
        <f t="shared" si="19"/>
        <v>0</v>
      </c>
      <c r="J46" s="33">
        <f t="shared" si="19"/>
        <v>15000</v>
      </c>
      <c r="L46" s="6"/>
      <c r="M46" s="6"/>
    </row>
    <row r="47" spans="1:13" x14ac:dyDescent="0.25">
      <c r="A47" s="32"/>
      <c r="B47" s="32">
        <v>4</v>
      </c>
      <c r="C47" s="37" t="s">
        <v>15</v>
      </c>
      <c r="D47" s="33">
        <v>15000</v>
      </c>
      <c r="E47" s="33">
        <v>0</v>
      </c>
      <c r="F47" s="33">
        <f>SUM(D47:E47)</f>
        <v>15000</v>
      </c>
      <c r="G47" s="33">
        <v>0</v>
      </c>
      <c r="H47" s="33">
        <v>0</v>
      </c>
      <c r="I47" s="33">
        <v>0</v>
      </c>
      <c r="J47" s="33">
        <f>SUM(I47,F47)</f>
        <v>15000</v>
      </c>
      <c r="L47" s="6"/>
      <c r="M47" s="6"/>
    </row>
    <row r="48" spans="1:13" s="10" customFormat="1" ht="28.5" customHeight="1" x14ac:dyDescent="0.25">
      <c r="A48" s="34" t="s">
        <v>59</v>
      </c>
      <c r="B48" s="35"/>
      <c r="C48" s="38"/>
      <c r="D48" s="36">
        <f t="shared" ref="D48:J48" si="20">D49+D52+D63+D68+D75</f>
        <v>8435240</v>
      </c>
      <c r="E48" s="36">
        <f t="shared" si="20"/>
        <v>0</v>
      </c>
      <c r="F48" s="36">
        <f t="shared" si="20"/>
        <v>8435240</v>
      </c>
      <c r="G48" s="36">
        <f t="shared" si="20"/>
        <v>0</v>
      </c>
      <c r="H48" s="36">
        <f t="shared" si="20"/>
        <v>3111171</v>
      </c>
      <c r="I48" s="36">
        <f t="shared" si="20"/>
        <v>3111171</v>
      </c>
      <c r="J48" s="36">
        <f t="shared" si="20"/>
        <v>11546411</v>
      </c>
      <c r="L48" s="30"/>
      <c r="M48" s="6"/>
    </row>
    <row r="49" spans="1:13" s="10" customFormat="1" x14ac:dyDescent="0.25">
      <c r="A49" s="35" t="s">
        <v>1</v>
      </c>
      <c r="B49" s="35"/>
      <c r="C49" s="38" t="s">
        <v>2</v>
      </c>
      <c r="D49" s="36">
        <f>D50</f>
        <v>0</v>
      </c>
      <c r="E49" s="36">
        <f t="shared" ref="E49:J50" si="21">E50</f>
        <v>0</v>
      </c>
      <c r="F49" s="36">
        <f t="shared" si="21"/>
        <v>0</v>
      </c>
      <c r="G49" s="36">
        <f t="shared" si="21"/>
        <v>0</v>
      </c>
      <c r="H49" s="36">
        <f t="shared" si="21"/>
        <v>0</v>
      </c>
      <c r="I49" s="36">
        <f t="shared" si="21"/>
        <v>0</v>
      </c>
      <c r="J49" s="36">
        <f t="shared" si="21"/>
        <v>0</v>
      </c>
      <c r="L49" s="30"/>
      <c r="M49" s="6"/>
    </row>
    <row r="50" spans="1:13" x14ac:dyDescent="0.25">
      <c r="A50" s="32" t="s">
        <v>3</v>
      </c>
      <c r="B50" s="32"/>
      <c r="C50" s="37" t="s">
        <v>112</v>
      </c>
      <c r="D50" s="33">
        <f>D51</f>
        <v>0</v>
      </c>
      <c r="E50" s="33">
        <f t="shared" si="21"/>
        <v>0</v>
      </c>
      <c r="F50" s="33">
        <f t="shared" si="21"/>
        <v>0</v>
      </c>
      <c r="G50" s="33">
        <f t="shared" si="21"/>
        <v>0</v>
      </c>
      <c r="H50" s="33">
        <f t="shared" si="21"/>
        <v>0</v>
      </c>
      <c r="I50" s="33">
        <f t="shared" si="21"/>
        <v>0</v>
      </c>
      <c r="J50" s="33">
        <f t="shared" si="21"/>
        <v>0</v>
      </c>
      <c r="L50" s="6"/>
      <c r="M50" s="6"/>
    </row>
    <row r="51" spans="1:13" ht="30" x14ac:dyDescent="0.25">
      <c r="A51" s="32"/>
      <c r="B51" s="32" t="s">
        <v>34</v>
      </c>
      <c r="C51" s="37" t="s">
        <v>185</v>
      </c>
      <c r="D51" s="33"/>
      <c r="E51" s="33">
        <v>0</v>
      </c>
      <c r="F51" s="33">
        <f>SUM(D51:E51)</f>
        <v>0</v>
      </c>
      <c r="G51" s="33">
        <v>0</v>
      </c>
      <c r="H51" s="33">
        <v>0</v>
      </c>
      <c r="I51" s="33">
        <v>0</v>
      </c>
      <c r="J51" s="33">
        <f>SUM(I51,F51)</f>
        <v>0</v>
      </c>
      <c r="L51" s="6"/>
      <c r="M51" s="6"/>
    </row>
    <row r="52" spans="1:13" s="10" customFormat="1" ht="25.5" customHeight="1" x14ac:dyDescent="0.25">
      <c r="A52" s="35" t="s">
        <v>10</v>
      </c>
      <c r="B52" s="35"/>
      <c r="C52" s="38" t="s">
        <v>11</v>
      </c>
      <c r="D52" s="36">
        <f>D53+D55+D57+D59+D61</f>
        <v>7750000</v>
      </c>
      <c r="E52" s="36">
        <f>E53+E55+E57+E59+E61</f>
        <v>0</v>
      </c>
      <c r="F52" s="36">
        <f>SUM(D52:E52)</f>
        <v>7750000</v>
      </c>
      <c r="G52" s="36">
        <f>G53+G55+G57+G59+G61</f>
        <v>0</v>
      </c>
      <c r="H52" s="36">
        <f>H53+H55+H57+H59+H61</f>
        <v>3111171</v>
      </c>
      <c r="I52" s="36">
        <f>SUM(G52:H52)</f>
        <v>3111171</v>
      </c>
      <c r="J52" s="36">
        <f>I52+F52</f>
        <v>10861171</v>
      </c>
      <c r="L52" s="30"/>
      <c r="M52" s="6"/>
    </row>
    <row r="53" spans="1:13" s="289" customFormat="1" x14ac:dyDescent="0.25">
      <c r="A53" s="298" t="s">
        <v>60</v>
      </c>
      <c r="B53" s="298"/>
      <c r="C53" s="303" t="s">
        <v>139</v>
      </c>
      <c r="D53" s="60">
        <f>D54</f>
        <v>7283000</v>
      </c>
      <c r="E53" s="60">
        <f t="shared" ref="E53:J55" si="22">E54</f>
        <v>0</v>
      </c>
      <c r="F53" s="60">
        <f t="shared" si="22"/>
        <v>7283000</v>
      </c>
      <c r="G53" s="60">
        <f t="shared" si="22"/>
        <v>0</v>
      </c>
      <c r="H53" s="60">
        <f t="shared" si="22"/>
        <v>1607000</v>
      </c>
      <c r="I53" s="60">
        <f t="shared" si="22"/>
        <v>1607000</v>
      </c>
      <c r="J53" s="60">
        <f t="shared" si="22"/>
        <v>8890000</v>
      </c>
      <c r="L53" s="301"/>
      <c r="M53" s="301"/>
    </row>
    <row r="54" spans="1:13" ht="29.25" customHeight="1" x14ac:dyDescent="0.25">
      <c r="A54" s="32"/>
      <c r="B54" s="32" t="s">
        <v>34</v>
      </c>
      <c r="C54" s="37" t="s">
        <v>185</v>
      </c>
      <c r="D54" s="33">
        <f>7374000-91000</f>
        <v>7283000</v>
      </c>
      <c r="E54" s="33">
        <v>0</v>
      </c>
      <c r="F54" s="33">
        <f>SUM(D54:E54)</f>
        <v>7283000</v>
      </c>
      <c r="G54" s="33">
        <v>0</v>
      </c>
      <c r="H54" s="33">
        <f>1648000-41000</f>
        <v>1607000</v>
      </c>
      <c r="I54" s="33">
        <f>SUM(G54:H54)</f>
        <v>1607000</v>
      </c>
      <c r="J54" s="33">
        <f>SUM(I54,F54)</f>
        <v>8890000</v>
      </c>
      <c r="L54" s="6"/>
      <c r="M54" s="6"/>
    </row>
    <row r="55" spans="1:13" s="2" customFormat="1" x14ac:dyDescent="0.25">
      <c r="A55" s="298" t="s">
        <v>60</v>
      </c>
      <c r="B55" s="298"/>
      <c r="C55" s="303" t="s">
        <v>140</v>
      </c>
      <c r="D55" s="60">
        <f>D56</f>
        <v>91000</v>
      </c>
      <c r="E55" s="60">
        <f t="shared" si="22"/>
        <v>0</v>
      </c>
      <c r="F55" s="60">
        <f t="shared" si="22"/>
        <v>91000</v>
      </c>
      <c r="G55" s="60">
        <f t="shared" si="22"/>
        <v>0</v>
      </c>
      <c r="H55" s="60">
        <f t="shared" si="22"/>
        <v>41000</v>
      </c>
      <c r="I55" s="60">
        <f t="shared" si="22"/>
        <v>41000</v>
      </c>
      <c r="J55" s="60">
        <f t="shared" si="22"/>
        <v>132000</v>
      </c>
      <c r="L55" s="6"/>
      <c r="M55" s="6"/>
    </row>
    <row r="56" spans="1:13" s="2" customFormat="1" ht="30" x14ac:dyDescent="0.25">
      <c r="A56" s="32"/>
      <c r="B56" s="32" t="s">
        <v>34</v>
      </c>
      <c r="C56" s="37" t="s">
        <v>185</v>
      </c>
      <c r="D56" s="33">
        <v>91000</v>
      </c>
      <c r="E56" s="33">
        <v>0</v>
      </c>
      <c r="F56" s="33">
        <f>SUM(D56:E56)</f>
        <v>91000</v>
      </c>
      <c r="G56" s="33">
        <v>0</v>
      </c>
      <c r="H56" s="33">
        <v>41000</v>
      </c>
      <c r="I56" s="33">
        <f>SUM(G56:H56)</f>
        <v>41000</v>
      </c>
      <c r="J56" s="33">
        <f>SUM(I56,F56)</f>
        <v>132000</v>
      </c>
      <c r="L56" s="6"/>
      <c r="M56" s="6"/>
    </row>
    <row r="57" spans="1:13" x14ac:dyDescent="0.25">
      <c r="A57" s="298" t="s">
        <v>22</v>
      </c>
      <c r="B57" s="298"/>
      <c r="C57" s="303" t="s">
        <v>117</v>
      </c>
      <c r="D57" s="60">
        <f>D58</f>
        <v>335000</v>
      </c>
      <c r="E57" s="60">
        <f t="shared" ref="E57:H59" si="23">E58</f>
        <v>0</v>
      </c>
      <c r="F57" s="60">
        <f t="shared" ref="F57:F77" si="24">SUM(D57:E57)</f>
        <v>335000</v>
      </c>
      <c r="G57" s="60">
        <f t="shared" si="23"/>
        <v>0</v>
      </c>
      <c r="H57" s="60">
        <f t="shared" si="23"/>
        <v>1463171</v>
      </c>
      <c r="I57" s="60">
        <f t="shared" ref="I57:I77" si="25">SUM(G57:H57)</f>
        <v>1463171</v>
      </c>
      <c r="J57" s="60">
        <f t="shared" ref="J57:J77" si="26">SUM(I57,F57)</f>
        <v>1798171</v>
      </c>
      <c r="L57" s="6" t="s">
        <v>468</v>
      </c>
      <c r="M57" s="6"/>
    </row>
    <row r="58" spans="1:13" ht="30" x14ac:dyDescent="0.25">
      <c r="A58" s="32"/>
      <c r="B58" s="32" t="s">
        <v>34</v>
      </c>
      <c r="C58" s="37" t="s">
        <v>185</v>
      </c>
      <c r="D58" s="33">
        <v>335000</v>
      </c>
      <c r="E58" s="33">
        <v>0</v>
      </c>
      <c r="F58" s="33">
        <f t="shared" si="24"/>
        <v>335000</v>
      </c>
      <c r="G58" s="33">
        <v>0</v>
      </c>
      <c r="H58" s="33">
        <v>1463171</v>
      </c>
      <c r="I58" s="33">
        <f t="shared" si="25"/>
        <v>1463171</v>
      </c>
      <c r="J58" s="33">
        <f t="shared" si="26"/>
        <v>1798171</v>
      </c>
      <c r="L58" s="6"/>
      <c r="M58" s="6"/>
    </row>
    <row r="59" spans="1:13" s="2" customFormat="1" x14ac:dyDescent="0.25">
      <c r="A59" s="304" t="s">
        <v>181</v>
      </c>
      <c r="B59" s="298"/>
      <c r="C59" s="303" t="s">
        <v>469</v>
      </c>
      <c r="D59" s="60">
        <f>D60</f>
        <v>41000</v>
      </c>
      <c r="E59" s="60">
        <f t="shared" si="23"/>
        <v>0</v>
      </c>
      <c r="F59" s="60">
        <f t="shared" ref="F59:F60" si="27">SUM(D59:E59)</f>
        <v>41000</v>
      </c>
      <c r="G59" s="60">
        <f t="shared" si="23"/>
        <v>0</v>
      </c>
      <c r="H59" s="60">
        <f t="shared" si="23"/>
        <v>0</v>
      </c>
      <c r="I59" s="60">
        <f t="shared" ref="I59:I60" si="28">SUM(G59:H59)</f>
        <v>0</v>
      </c>
      <c r="J59" s="60">
        <f t="shared" ref="J59:J60" si="29">SUM(I59,F59)</f>
        <v>41000</v>
      </c>
      <c r="L59" s="6"/>
      <c r="M59" s="6"/>
    </row>
    <row r="60" spans="1:13" s="2" customFormat="1" ht="30" x14ac:dyDescent="0.25">
      <c r="A60" s="32"/>
      <c r="B60" s="32" t="s">
        <v>34</v>
      </c>
      <c r="C60" s="37" t="s">
        <v>185</v>
      </c>
      <c r="D60" s="33">
        <v>41000</v>
      </c>
      <c r="E60" s="33">
        <v>0</v>
      </c>
      <c r="F60" s="33">
        <f t="shared" si="27"/>
        <v>41000</v>
      </c>
      <c r="G60" s="33">
        <v>0</v>
      </c>
      <c r="H60" s="33"/>
      <c r="I60" s="33">
        <f t="shared" si="28"/>
        <v>0</v>
      </c>
      <c r="J60" s="33">
        <f t="shared" si="29"/>
        <v>41000</v>
      </c>
      <c r="L60" s="6"/>
      <c r="M60" s="6"/>
    </row>
    <row r="61" spans="1:13" x14ac:dyDescent="0.25">
      <c r="A61" s="298" t="s">
        <v>16</v>
      </c>
      <c r="B61" s="298"/>
      <c r="C61" s="299" t="s">
        <v>114</v>
      </c>
      <c r="D61" s="60">
        <f>D62</f>
        <v>0</v>
      </c>
      <c r="E61" s="60">
        <f t="shared" ref="E61:H61" si="30">E62</f>
        <v>0</v>
      </c>
      <c r="F61" s="60">
        <f t="shared" si="24"/>
        <v>0</v>
      </c>
      <c r="G61" s="60">
        <f t="shared" si="30"/>
        <v>0</v>
      </c>
      <c r="H61" s="60">
        <f t="shared" si="30"/>
        <v>0</v>
      </c>
      <c r="I61" s="60">
        <f t="shared" si="25"/>
        <v>0</v>
      </c>
      <c r="J61" s="60">
        <f t="shared" si="26"/>
        <v>0</v>
      </c>
      <c r="L61" s="6"/>
      <c r="M61" s="6"/>
    </row>
    <row r="62" spans="1:13" ht="30" x14ac:dyDescent="0.25">
      <c r="A62" s="32"/>
      <c r="B62" s="32" t="s">
        <v>34</v>
      </c>
      <c r="C62" s="37" t="s">
        <v>185</v>
      </c>
      <c r="D62" s="33"/>
      <c r="E62" s="33">
        <v>0</v>
      </c>
      <c r="F62" s="33">
        <f t="shared" si="24"/>
        <v>0</v>
      </c>
      <c r="G62" s="33">
        <v>0</v>
      </c>
      <c r="H62" s="33"/>
      <c r="I62" s="33">
        <f t="shared" si="25"/>
        <v>0</v>
      </c>
      <c r="J62" s="33">
        <f t="shared" si="26"/>
        <v>0</v>
      </c>
      <c r="L62" s="6"/>
      <c r="M62" s="6"/>
    </row>
    <row r="63" spans="1:13" s="10" customFormat="1" ht="25.5" customHeight="1" x14ac:dyDescent="0.25">
      <c r="A63" s="35" t="s">
        <v>61</v>
      </c>
      <c r="B63" s="35"/>
      <c r="C63" s="38" t="s">
        <v>62</v>
      </c>
      <c r="D63" s="36">
        <f>D64+D66</f>
        <v>145000</v>
      </c>
      <c r="E63" s="36">
        <f t="shared" ref="E63:H63" si="31">E64+E66</f>
        <v>0</v>
      </c>
      <c r="F63" s="36">
        <f t="shared" si="24"/>
        <v>145000</v>
      </c>
      <c r="G63" s="36">
        <f t="shared" si="31"/>
        <v>0</v>
      </c>
      <c r="H63" s="36">
        <f t="shared" si="31"/>
        <v>0</v>
      </c>
      <c r="I63" s="36">
        <f t="shared" si="25"/>
        <v>0</v>
      </c>
      <c r="J63" s="36">
        <f t="shared" si="26"/>
        <v>145000</v>
      </c>
      <c r="L63" s="30"/>
      <c r="M63" s="6"/>
    </row>
    <row r="64" spans="1:13" x14ac:dyDescent="0.25">
      <c r="A64" s="298" t="s">
        <v>65</v>
      </c>
      <c r="B64" s="298"/>
      <c r="C64" s="299" t="s">
        <v>199</v>
      </c>
      <c r="D64" s="60">
        <f>D65</f>
        <v>15000</v>
      </c>
      <c r="E64" s="60">
        <f t="shared" ref="E64:H64" si="32">E65</f>
        <v>0</v>
      </c>
      <c r="F64" s="60">
        <f t="shared" si="24"/>
        <v>15000</v>
      </c>
      <c r="G64" s="60">
        <f t="shared" si="32"/>
        <v>0</v>
      </c>
      <c r="H64" s="60">
        <f t="shared" si="32"/>
        <v>0</v>
      </c>
      <c r="I64" s="60">
        <f t="shared" si="25"/>
        <v>0</v>
      </c>
      <c r="J64" s="60">
        <f t="shared" si="26"/>
        <v>15000</v>
      </c>
      <c r="L64" s="6"/>
      <c r="M64" s="6"/>
    </row>
    <row r="65" spans="1:13" x14ac:dyDescent="0.25">
      <c r="A65" s="32"/>
      <c r="B65" s="32">
        <v>4</v>
      </c>
      <c r="C65" s="37" t="s">
        <v>15</v>
      </c>
      <c r="D65" s="33">
        <v>15000</v>
      </c>
      <c r="E65" s="33">
        <v>0</v>
      </c>
      <c r="F65" s="33">
        <f t="shared" si="24"/>
        <v>15000</v>
      </c>
      <c r="G65" s="33">
        <v>0</v>
      </c>
      <c r="H65" s="33">
        <v>0</v>
      </c>
      <c r="I65" s="33">
        <f t="shared" si="25"/>
        <v>0</v>
      </c>
      <c r="J65" s="33">
        <f t="shared" si="26"/>
        <v>15000</v>
      </c>
      <c r="L65" s="6"/>
      <c r="M65" s="6"/>
    </row>
    <row r="66" spans="1:13" x14ac:dyDescent="0.25">
      <c r="A66" s="298" t="s">
        <v>66</v>
      </c>
      <c r="B66" s="298"/>
      <c r="C66" s="299" t="s">
        <v>145</v>
      </c>
      <c r="D66" s="60">
        <f>D67</f>
        <v>130000</v>
      </c>
      <c r="E66" s="60">
        <f t="shared" ref="E66:H66" si="33">E67</f>
        <v>0</v>
      </c>
      <c r="F66" s="60">
        <f t="shared" si="24"/>
        <v>130000</v>
      </c>
      <c r="G66" s="60">
        <f t="shared" si="33"/>
        <v>0</v>
      </c>
      <c r="H66" s="60">
        <f t="shared" si="33"/>
        <v>0</v>
      </c>
      <c r="I66" s="60">
        <f t="shared" si="25"/>
        <v>0</v>
      </c>
      <c r="J66" s="60">
        <f t="shared" si="26"/>
        <v>130000</v>
      </c>
      <c r="L66" s="6"/>
      <c r="M66" s="6"/>
    </row>
    <row r="67" spans="1:13" ht="30" x14ac:dyDescent="0.25">
      <c r="A67" s="32"/>
      <c r="B67" s="32" t="s">
        <v>34</v>
      </c>
      <c r="C67" s="37" t="s">
        <v>185</v>
      </c>
      <c r="D67" s="33">
        <v>130000</v>
      </c>
      <c r="E67" s="33">
        <v>0</v>
      </c>
      <c r="F67" s="33">
        <f t="shared" si="24"/>
        <v>130000</v>
      </c>
      <c r="G67" s="33">
        <v>0</v>
      </c>
      <c r="H67" s="33">
        <v>0</v>
      </c>
      <c r="I67" s="33">
        <f t="shared" si="25"/>
        <v>0</v>
      </c>
      <c r="J67" s="33">
        <f t="shared" si="26"/>
        <v>130000</v>
      </c>
      <c r="L67" s="6"/>
      <c r="M67" s="6"/>
    </row>
    <row r="68" spans="1:13" s="10" customFormat="1" ht="27" customHeight="1" x14ac:dyDescent="0.25">
      <c r="A68" s="35" t="s">
        <v>68</v>
      </c>
      <c r="B68" s="35"/>
      <c r="C68" s="38" t="s">
        <v>69</v>
      </c>
      <c r="D68" s="36">
        <f>D69+D71+D73</f>
        <v>539140</v>
      </c>
      <c r="E68" s="36">
        <f t="shared" ref="E68:H68" si="34">E69+E71+E73</f>
        <v>0</v>
      </c>
      <c r="F68" s="36">
        <f t="shared" si="24"/>
        <v>539140</v>
      </c>
      <c r="G68" s="36">
        <f t="shared" si="34"/>
        <v>0</v>
      </c>
      <c r="H68" s="36">
        <f t="shared" si="34"/>
        <v>0</v>
      </c>
      <c r="I68" s="36">
        <f t="shared" si="25"/>
        <v>0</v>
      </c>
      <c r="J68" s="36">
        <f t="shared" si="26"/>
        <v>539140</v>
      </c>
      <c r="L68" s="30"/>
      <c r="M68" s="6"/>
    </row>
    <row r="69" spans="1:13" x14ac:dyDescent="0.25">
      <c r="A69" s="32" t="s">
        <v>180</v>
      </c>
      <c r="B69" s="32"/>
      <c r="C69" s="39" t="s">
        <v>200</v>
      </c>
      <c r="D69" s="33">
        <f>D70</f>
        <v>0</v>
      </c>
      <c r="E69" s="33">
        <f t="shared" ref="E69:H69" si="35">E70</f>
        <v>0</v>
      </c>
      <c r="F69" s="33">
        <f t="shared" si="24"/>
        <v>0</v>
      </c>
      <c r="G69" s="33">
        <f t="shared" si="35"/>
        <v>0</v>
      </c>
      <c r="H69" s="33">
        <f t="shared" si="35"/>
        <v>0</v>
      </c>
      <c r="I69" s="33">
        <f t="shared" si="25"/>
        <v>0</v>
      </c>
      <c r="J69" s="33">
        <f t="shared" si="26"/>
        <v>0</v>
      </c>
      <c r="L69" s="6"/>
      <c r="M69" s="6"/>
    </row>
    <row r="70" spans="1:13" ht="30" x14ac:dyDescent="0.25">
      <c r="A70" s="32"/>
      <c r="B70" s="32" t="s">
        <v>34</v>
      </c>
      <c r="C70" s="37" t="s">
        <v>185</v>
      </c>
      <c r="D70" s="33"/>
      <c r="E70" s="33">
        <v>0</v>
      </c>
      <c r="F70" s="33">
        <f t="shared" si="24"/>
        <v>0</v>
      </c>
      <c r="G70" s="33">
        <v>0</v>
      </c>
      <c r="H70" s="33">
        <v>0</v>
      </c>
      <c r="I70" s="33">
        <f t="shared" si="25"/>
        <v>0</v>
      </c>
      <c r="J70" s="33">
        <f t="shared" si="26"/>
        <v>0</v>
      </c>
      <c r="L70" s="6"/>
      <c r="M70" s="6"/>
    </row>
    <row r="71" spans="1:13" x14ac:dyDescent="0.25">
      <c r="A71" s="298" t="s">
        <v>70</v>
      </c>
      <c r="B71" s="298"/>
      <c r="C71" s="299" t="s">
        <v>147</v>
      </c>
      <c r="D71" s="60">
        <f>D72</f>
        <v>472000</v>
      </c>
      <c r="E71" s="60">
        <f t="shared" ref="E71:H71" si="36">E72</f>
        <v>0</v>
      </c>
      <c r="F71" s="60">
        <f t="shared" si="24"/>
        <v>472000</v>
      </c>
      <c r="G71" s="60">
        <f t="shared" si="36"/>
        <v>0</v>
      </c>
      <c r="H71" s="60">
        <f t="shared" si="36"/>
        <v>0</v>
      </c>
      <c r="I71" s="60">
        <f t="shared" si="25"/>
        <v>0</v>
      </c>
      <c r="J71" s="60">
        <f t="shared" si="26"/>
        <v>472000</v>
      </c>
      <c r="L71" s="6"/>
      <c r="M71" s="6"/>
    </row>
    <row r="72" spans="1:13" ht="30" x14ac:dyDescent="0.25">
      <c r="A72" s="32"/>
      <c r="B72" s="32" t="s">
        <v>34</v>
      </c>
      <c r="C72" s="37" t="s">
        <v>185</v>
      </c>
      <c r="D72" s="33">
        <v>472000</v>
      </c>
      <c r="E72" s="33">
        <v>0</v>
      </c>
      <c r="F72" s="33">
        <f t="shared" si="24"/>
        <v>472000</v>
      </c>
      <c r="G72" s="33">
        <v>0</v>
      </c>
      <c r="H72" s="33">
        <v>0</v>
      </c>
      <c r="I72" s="33">
        <f t="shared" si="25"/>
        <v>0</v>
      </c>
      <c r="J72" s="33">
        <f t="shared" si="26"/>
        <v>472000</v>
      </c>
      <c r="L72" s="6"/>
      <c r="M72" s="6"/>
    </row>
    <row r="73" spans="1:13" ht="30" x14ac:dyDescent="0.25">
      <c r="A73" s="298" t="s">
        <v>71</v>
      </c>
      <c r="B73" s="298"/>
      <c r="C73" s="305" t="s">
        <v>413</v>
      </c>
      <c r="D73" s="60">
        <f>D74</f>
        <v>67140</v>
      </c>
      <c r="E73" s="60">
        <f t="shared" ref="E73:H73" si="37">E74</f>
        <v>0</v>
      </c>
      <c r="F73" s="60">
        <f t="shared" si="24"/>
        <v>67140</v>
      </c>
      <c r="G73" s="60">
        <f t="shared" si="37"/>
        <v>0</v>
      </c>
      <c r="H73" s="60">
        <f t="shared" si="37"/>
        <v>0</v>
      </c>
      <c r="I73" s="60">
        <f t="shared" si="25"/>
        <v>0</v>
      </c>
      <c r="J73" s="60">
        <f t="shared" si="26"/>
        <v>67140</v>
      </c>
      <c r="K73" s="289"/>
      <c r="L73" s="6"/>
      <c r="M73" s="6"/>
    </row>
    <row r="74" spans="1:13" ht="30" x14ac:dyDescent="0.25">
      <c r="A74" s="32"/>
      <c r="B74" s="32" t="s">
        <v>34</v>
      </c>
      <c r="C74" s="37" t="s">
        <v>185</v>
      </c>
      <c r="D74" s="33">
        <v>67140</v>
      </c>
      <c r="E74" s="33">
        <v>0</v>
      </c>
      <c r="F74" s="33">
        <f t="shared" si="24"/>
        <v>67140</v>
      </c>
      <c r="G74" s="33">
        <v>0</v>
      </c>
      <c r="H74" s="33">
        <v>0</v>
      </c>
      <c r="I74" s="33">
        <f t="shared" si="25"/>
        <v>0</v>
      </c>
      <c r="J74" s="33">
        <f t="shared" si="26"/>
        <v>67140</v>
      </c>
      <c r="L74" s="6"/>
      <c r="M74" s="6"/>
    </row>
    <row r="75" spans="1:13" s="10" customFormat="1" ht="27" customHeight="1" x14ac:dyDescent="0.25">
      <c r="A75" s="35" t="s">
        <v>17</v>
      </c>
      <c r="B75" s="35"/>
      <c r="C75" s="38" t="s">
        <v>194</v>
      </c>
      <c r="D75" s="36">
        <f>D76</f>
        <v>1100</v>
      </c>
      <c r="E75" s="36">
        <f t="shared" ref="E75:H76" si="38">E76</f>
        <v>0</v>
      </c>
      <c r="F75" s="33">
        <f t="shared" si="24"/>
        <v>1100</v>
      </c>
      <c r="G75" s="36">
        <f t="shared" si="38"/>
        <v>0</v>
      </c>
      <c r="H75" s="36">
        <f t="shared" si="38"/>
        <v>0</v>
      </c>
      <c r="I75" s="36">
        <f t="shared" si="25"/>
        <v>0</v>
      </c>
      <c r="J75" s="36">
        <f t="shared" si="26"/>
        <v>1100</v>
      </c>
      <c r="L75" s="30"/>
      <c r="M75" s="6"/>
    </row>
    <row r="76" spans="1:13" x14ac:dyDescent="0.25">
      <c r="A76" s="298" t="s">
        <v>19</v>
      </c>
      <c r="B76" s="298"/>
      <c r="C76" s="299" t="s">
        <v>115</v>
      </c>
      <c r="D76" s="60">
        <f>D77</f>
        <v>1100</v>
      </c>
      <c r="E76" s="60">
        <f t="shared" si="38"/>
        <v>0</v>
      </c>
      <c r="F76" s="60">
        <f t="shared" si="24"/>
        <v>1100</v>
      </c>
      <c r="G76" s="60">
        <f t="shared" si="38"/>
        <v>0</v>
      </c>
      <c r="H76" s="60">
        <f t="shared" si="38"/>
        <v>0</v>
      </c>
      <c r="I76" s="60">
        <f t="shared" si="25"/>
        <v>0</v>
      </c>
      <c r="J76" s="60">
        <f t="shared" si="26"/>
        <v>1100</v>
      </c>
      <c r="L76" s="6"/>
      <c r="M76" s="6"/>
    </row>
    <row r="77" spans="1:13" ht="30" x14ac:dyDescent="0.25">
      <c r="A77" s="32"/>
      <c r="B77" s="32" t="s">
        <v>34</v>
      </c>
      <c r="C77" s="37" t="s">
        <v>185</v>
      </c>
      <c r="D77" s="33">
        <v>1100</v>
      </c>
      <c r="E77" s="33">
        <v>0</v>
      </c>
      <c r="F77" s="33">
        <f t="shared" si="24"/>
        <v>1100</v>
      </c>
      <c r="G77" s="33">
        <v>0</v>
      </c>
      <c r="H77" s="33">
        <v>0</v>
      </c>
      <c r="I77" s="33">
        <f t="shared" si="25"/>
        <v>0</v>
      </c>
      <c r="J77" s="33">
        <f t="shared" si="26"/>
        <v>1100</v>
      </c>
      <c r="L77" s="6"/>
      <c r="M77" s="6"/>
    </row>
    <row r="78" spans="1:13" s="10" customFormat="1" x14ac:dyDescent="0.25">
      <c r="A78" s="34" t="s">
        <v>72</v>
      </c>
      <c r="B78" s="35"/>
      <c r="C78" s="38"/>
      <c r="D78" s="36">
        <f>D79</f>
        <v>2150000</v>
      </c>
      <c r="E78" s="36">
        <f t="shared" ref="E78:J80" si="39">E79</f>
        <v>0</v>
      </c>
      <c r="F78" s="36">
        <f t="shared" si="39"/>
        <v>2150000</v>
      </c>
      <c r="G78" s="36">
        <f t="shared" si="39"/>
        <v>0</v>
      </c>
      <c r="H78" s="36">
        <f t="shared" si="39"/>
        <v>0</v>
      </c>
      <c r="I78" s="36">
        <f t="shared" si="39"/>
        <v>0</v>
      </c>
      <c r="J78" s="36">
        <f t="shared" si="39"/>
        <v>2150000</v>
      </c>
      <c r="L78" s="30"/>
      <c r="M78" s="6"/>
    </row>
    <row r="79" spans="1:13" s="10" customFormat="1" ht="27" customHeight="1" x14ac:dyDescent="0.25">
      <c r="A79" s="35" t="s">
        <v>10</v>
      </c>
      <c r="B79" s="35"/>
      <c r="C79" s="38" t="s">
        <v>11</v>
      </c>
      <c r="D79" s="36">
        <f>D80</f>
        <v>2150000</v>
      </c>
      <c r="E79" s="36">
        <f t="shared" si="39"/>
        <v>0</v>
      </c>
      <c r="F79" s="36">
        <f t="shared" si="39"/>
        <v>2150000</v>
      </c>
      <c r="G79" s="36">
        <f t="shared" si="39"/>
        <v>0</v>
      </c>
      <c r="H79" s="36">
        <f t="shared" si="39"/>
        <v>0</v>
      </c>
      <c r="I79" s="36">
        <f t="shared" si="39"/>
        <v>0</v>
      </c>
      <c r="J79" s="36">
        <f t="shared" si="39"/>
        <v>2150000</v>
      </c>
      <c r="L79" s="30"/>
      <c r="M79" s="6"/>
    </row>
    <row r="80" spans="1:13" x14ac:dyDescent="0.25">
      <c r="A80" s="298" t="s">
        <v>74</v>
      </c>
      <c r="B80" s="298"/>
      <c r="C80" s="299" t="s">
        <v>152</v>
      </c>
      <c r="D80" s="60">
        <f>D81</f>
        <v>2150000</v>
      </c>
      <c r="E80" s="60">
        <f t="shared" si="39"/>
        <v>0</v>
      </c>
      <c r="F80" s="60">
        <f>SUM(D80:E80)</f>
        <v>2150000</v>
      </c>
      <c r="G80" s="60">
        <f t="shared" si="39"/>
        <v>0</v>
      </c>
      <c r="H80" s="60">
        <f t="shared" si="39"/>
        <v>0</v>
      </c>
      <c r="I80" s="60">
        <f t="shared" si="39"/>
        <v>0</v>
      </c>
      <c r="J80" s="60">
        <f>SUM(I80,F80)</f>
        <v>2150000</v>
      </c>
      <c r="L80" s="6"/>
      <c r="M80" s="6"/>
    </row>
    <row r="81" spans="1:13" ht="30" x14ac:dyDescent="0.25">
      <c r="A81" s="32"/>
      <c r="B81" s="32" t="s">
        <v>34</v>
      </c>
      <c r="C81" s="37" t="s">
        <v>185</v>
      </c>
      <c r="D81" s="33">
        <v>2150000</v>
      </c>
      <c r="E81" s="33">
        <v>0</v>
      </c>
      <c r="F81" s="33">
        <f>SUM(D81:E81)</f>
        <v>2150000</v>
      </c>
      <c r="G81" s="33">
        <v>0</v>
      </c>
      <c r="H81" s="33">
        <v>0</v>
      </c>
      <c r="I81" s="33">
        <v>0</v>
      </c>
      <c r="J81" s="33">
        <f>SUM(I81,F81)</f>
        <v>2150000</v>
      </c>
      <c r="L81" s="6"/>
      <c r="M81" s="6"/>
    </row>
    <row r="82" spans="1:13" s="10" customFormat="1" x14ac:dyDescent="0.25">
      <c r="A82" s="34" t="s">
        <v>75</v>
      </c>
      <c r="B82" s="35"/>
      <c r="C82" s="38"/>
      <c r="D82" s="36">
        <f>D83+D86+D89+D93+D106+D117</f>
        <v>16650000</v>
      </c>
      <c r="E82" s="36">
        <f>E83+E86+E89+E93+E106+E117</f>
        <v>0</v>
      </c>
      <c r="F82" s="36">
        <f>SUM(D82:E82)</f>
        <v>16650000</v>
      </c>
      <c r="G82" s="36">
        <f>G83+G86+G89+G93+G106+G117</f>
        <v>0</v>
      </c>
      <c r="H82" s="36">
        <f>H83+H86+H89+H93+H106+H117</f>
        <v>3065000</v>
      </c>
      <c r="I82" s="36">
        <f t="shared" ref="I82" si="40">I86+I89+I93+I106+I117</f>
        <v>3065000</v>
      </c>
      <c r="J82" s="36">
        <f>SUM(I82,F82)</f>
        <v>19715000</v>
      </c>
      <c r="L82" s="30"/>
      <c r="M82" s="6"/>
    </row>
    <row r="83" spans="1:13" s="10" customFormat="1" ht="24.75" customHeight="1" x14ac:dyDescent="0.25">
      <c r="A83" s="306" t="s">
        <v>1</v>
      </c>
      <c r="B83" s="35"/>
      <c r="C83" s="291" t="s">
        <v>2</v>
      </c>
      <c r="D83" s="36">
        <f>D84</f>
        <v>600000</v>
      </c>
      <c r="E83" s="36">
        <f t="shared" ref="E83:J84" si="41">E84</f>
        <v>0</v>
      </c>
      <c r="F83" s="36">
        <f t="shared" si="41"/>
        <v>600000</v>
      </c>
      <c r="G83" s="36">
        <f t="shared" si="41"/>
        <v>0</v>
      </c>
      <c r="H83" s="36">
        <f t="shared" si="41"/>
        <v>0</v>
      </c>
      <c r="I83" s="36">
        <f t="shared" si="41"/>
        <v>0</v>
      </c>
      <c r="J83" s="36">
        <f t="shared" si="41"/>
        <v>600000</v>
      </c>
      <c r="L83" s="30"/>
      <c r="M83" s="6"/>
    </row>
    <row r="84" spans="1:13" s="10" customFormat="1" x14ac:dyDescent="0.25">
      <c r="A84" s="304" t="s">
        <v>3</v>
      </c>
      <c r="B84" s="298"/>
      <c r="C84" s="299" t="s">
        <v>112</v>
      </c>
      <c r="D84" s="60">
        <f>D85</f>
        <v>600000</v>
      </c>
      <c r="E84" s="60">
        <f t="shared" si="41"/>
        <v>0</v>
      </c>
      <c r="F84" s="60">
        <f t="shared" si="41"/>
        <v>600000</v>
      </c>
      <c r="G84" s="60">
        <f t="shared" si="41"/>
        <v>0</v>
      </c>
      <c r="H84" s="60">
        <f t="shared" si="41"/>
        <v>0</v>
      </c>
      <c r="I84" s="60">
        <f t="shared" si="41"/>
        <v>0</v>
      </c>
      <c r="J84" s="60">
        <f t="shared" si="41"/>
        <v>600000</v>
      </c>
      <c r="L84" s="30"/>
      <c r="M84" s="6"/>
    </row>
    <row r="85" spans="1:13" s="10" customFormat="1" ht="30" x14ac:dyDescent="0.25">
      <c r="A85" s="32"/>
      <c r="B85" s="32" t="s">
        <v>34</v>
      </c>
      <c r="C85" s="37" t="s">
        <v>185</v>
      </c>
      <c r="D85" s="33">
        <v>600000</v>
      </c>
      <c r="E85" s="33">
        <v>0</v>
      </c>
      <c r="F85" s="33">
        <f>SUM(D85:E85)</f>
        <v>600000</v>
      </c>
      <c r="G85" s="33">
        <v>0</v>
      </c>
      <c r="H85" s="33">
        <v>0</v>
      </c>
      <c r="I85" s="33">
        <f>SUM(G85:H85)</f>
        <v>0</v>
      </c>
      <c r="J85" s="33">
        <f>SUM(I85,F85)</f>
        <v>600000</v>
      </c>
      <c r="L85" s="30"/>
      <c r="M85" s="6"/>
    </row>
    <row r="86" spans="1:13" s="10" customFormat="1" ht="23.25" customHeight="1" x14ac:dyDescent="0.25">
      <c r="A86" s="35" t="s">
        <v>10</v>
      </c>
      <c r="B86" s="35"/>
      <c r="C86" s="38" t="s">
        <v>11</v>
      </c>
      <c r="D86" s="36">
        <f>D87</f>
        <v>148000</v>
      </c>
      <c r="E86" s="36">
        <f t="shared" ref="E86:H87" si="42">E87</f>
        <v>0</v>
      </c>
      <c r="F86" s="36">
        <f t="shared" ref="F86:F133" si="43">SUM(D86:E86)</f>
        <v>148000</v>
      </c>
      <c r="G86" s="36">
        <f t="shared" si="42"/>
        <v>0</v>
      </c>
      <c r="H86" s="36">
        <f t="shared" si="42"/>
        <v>0</v>
      </c>
      <c r="I86" s="36">
        <f t="shared" ref="I86:I133" si="44">SUM(G86:H86)</f>
        <v>0</v>
      </c>
      <c r="J86" s="36">
        <f t="shared" ref="J86:J133" si="45">SUM(I86,F86)</f>
        <v>148000</v>
      </c>
      <c r="L86" s="30"/>
      <c r="M86" s="6"/>
    </row>
    <row r="87" spans="1:13" x14ac:dyDescent="0.25">
      <c r="A87" s="298" t="s">
        <v>16</v>
      </c>
      <c r="B87" s="298"/>
      <c r="C87" s="299" t="s">
        <v>114</v>
      </c>
      <c r="D87" s="60">
        <f>D88</f>
        <v>148000</v>
      </c>
      <c r="E87" s="60">
        <f t="shared" si="42"/>
        <v>0</v>
      </c>
      <c r="F87" s="60">
        <f t="shared" si="43"/>
        <v>148000</v>
      </c>
      <c r="G87" s="60">
        <f t="shared" si="42"/>
        <v>0</v>
      </c>
      <c r="H87" s="60">
        <f t="shared" si="42"/>
        <v>0</v>
      </c>
      <c r="I87" s="60">
        <f t="shared" si="44"/>
        <v>0</v>
      </c>
      <c r="J87" s="60">
        <f t="shared" si="45"/>
        <v>148000</v>
      </c>
      <c r="L87" s="6"/>
      <c r="M87" s="6"/>
    </row>
    <row r="88" spans="1:13" ht="30" x14ac:dyDescent="0.25">
      <c r="A88" s="32"/>
      <c r="B88" s="32" t="s">
        <v>34</v>
      </c>
      <c r="C88" s="37" t="s">
        <v>185</v>
      </c>
      <c r="D88" s="33">
        <v>148000</v>
      </c>
      <c r="E88" s="33">
        <v>0</v>
      </c>
      <c r="F88" s="33">
        <f t="shared" si="43"/>
        <v>148000</v>
      </c>
      <c r="G88" s="33">
        <v>0</v>
      </c>
      <c r="H88" s="33">
        <v>0</v>
      </c>
      <c r="I88" s="33">
        <f t="shared" si="44"/>
        <v>0</v>
      </c>
      <c r="J88" s="33">
        <f t="shared" si="45"/>
        <v>148000</v>
      </c>
      <c r="L88" s="6"/>
      <c r="M88" s="6"/>
    </row>
    <row r="89" spans="1:13" s="10" customFormat="1" ht="25.5" customHeight="1" x14ac:dyDescent="0.25">
      <c r="A89" s="35" t="s">
        <v>68</v>
      </c>
      <c r="B89" s="35"/>
      <c r="C89" s="38" t="s">
        <v>69</v>
      </c>
      <c r="D89" s="36">
        <f>D90</f>
        <v>1322000</v>
      </c>
      <c r="E89" s="36">
        <f t="shared" ref="E89:H89" si="46">E90</f>
        <v>0</v>
      </c>
      <c r="F89" s="36">
        <f t="shared" si="43"/>
        <v>1322000</v>
      </c>
      <c r="G89" s="36">
        <f t="shared" si="46"/>
        <v>0</v>
      </c>
      <c r="H89" s="36">
        <f t="shared" si="46"/>
        <v>550000</v>
      </c>
      <c r="I89" s="36">
        <f t="shared" si="44"/>
        <v>550000</v>
      </c>
      <c r="J89" s="36">
        <f t="shared" si="45"/>
        <v>1872000</v>
      </c>
      <c r="L89" s="30"/>
      <c r="M89" s="6"/>
    </row>
    <row r="90" spans="1:13" x14ac:dyDescent="0.25">
      <c r="A90" s="298" t="s">
        <v>76</v>
      </c>
      <c r="B90" s="298"/>
      <c r="C90" s="299" t="s">
        <v>154</v>
      </c>
      <c r="D90" s="60">
        <f>SUM(D91:D92)</f>
        <v>1322000</v>
      </c>
      <c r="E90" s="60">
        <f t="shared" ref="E90:H90" si="47">SUM(E91:E92)</f>
        <v>0</v>
      </c>
      <c r="F90" s="60">
        <f t="shared" si="43"/>
        <v>1322000</v>
      </c>
      <c r="G90" s="60">
        <f t="shared" si="47"/>
        <v>0</v>
      </c>
      <c r="H90" s="60">
        <f t="shared" si="47"/>
        <v>550000</v>
      </c>
      <c r="I90" s="60">
        <f t="shared" si="44"/>
        <v>550000</v>
      </c>
      <c r="J90" s="60">
        <f t="shared" si="45"/>
        <v>1872000</v>
      </c>
      <c r="L90" s="6"/>
      <c r="M90" s="6"/>
    </row>
    <row r="91" spans="1:13" ht="30" x14ac:dyDescent="0.25">
      <c r="A91" s="32"/>
      <c r="B91" s="32" t="s">
        <v>34</v>
      </c>
      <c r="C91" s="37" t="s">
        <v>185</v>
      </c>
      <c r="D91" s="33">
        <v>1247000</v>
      </c>
      <c r="E91" s="33">
        <v>0</v>
      </c>
      <c r="F91" s="33">
        <f t="shared" si="43"/>
        <v>1247000</v>
      </c>
      <c r="G91" s="33">
        <v>0</v>
      </c>
      <c r="H91" s="33">
        <v>550000</v>
      </c>
      <c r="I91" s="33">
        <f t="shared" si="44"/>
        <v>550000</v>
      </c>
      <c r="J91" s="33">
        <f t="shared" si="45"/>
        <v>1797000</v>
      </c>
      <c r="L91" s="6"/>
      <c r="M91" s="6"/>
    </row>
    <row r="92" spans="1:13" x14ac:dyDescent="0.25">
      <c r="A92" s="32"/>
      <c r="B92" s="32">
        <v>4</v>
      </c>
      <c r="C92" s="37" t="s">
        <v>15</v>
      </c>
      <c r="D92" s="33">
        <v>75000</v>
      </c>
      <c r="E92" s="33">
        <v>0</v>
      </c>
      <c r="F92" s="33">
        <f t="shared" si="43"/>
        <v>75000</v>
      </c>
      <c r="G92" s="33">
        <v>0</v>
      </c>
      <c r="H92" s="33">
        <v>0</v>
      </c>
      <c r="I92" s="33">
        <f t="shared" si="44"/>
        <v>0</v>
      </c>
      <c r="J92" s="33">
        <f t="shared" si="45"/>
        <v>75000</v>
      </c>
      <c r="L92" s="6"/>
      <c r="M92" s="6"/>
    </row>
    <row r="93" spans="1:13" s="10" customFormat="1" ht="25.5" customHeight="1" x14ac:dyDescent="0.25">
      <c r="A93" s="35" t="s">
        <v>17</v>
      </c>
      <c r="B93" s="35"/>
      <c r="C93" s="38" t="s">
        <v>194</v>
      </c>
      <c r="D93" s="36">
        <f>D94+D97+D99+D101+D104</f>
        <v>757000</v>
      </c>
      <c r="E93" s="36">
        <f t="shared" ref="E93:H93" si="48">E94+E97+E99+E101+E104</f>
        <v>0</v>
      </c>
      <c r="F93" s="36">
        <f t="shared" si="43"/>
        <v>757000</v>
      </c>
      <c r="G93" s="36">
        <f t="shared" si="48"/>
        <v>0</v>
      </c>
      <c r="H93" s="36">
        <f t="shared" si="48"/>
        <v>0</v>
      </c>
      <c r="I93" s="36">
        <f t="shared" si="44"/>
        <v>0</v>
      </c>
      <c r="J93" s="36">
        <f t="shared" si="45"/>
        <v>757000</v>
      </c>
      <c r="L93" s="30"/>
      <c r="M93" s="6"/>
    </row>
    <row r="94" spans="1:13" x14ac:dyDescent="0.25">
      <c r="A94" s="298" t="s">
        <v>41</v>
      </c>
      <c r="B94" s="32"/>
      <c r="C94" s="299" t="s">
        <v>128</v>
      </c>
      <c r="D94" s="60">
        <f>SUM(D95:D96)</f>
        <v>390000</v>
      </c>
      <c r="E94" s="60">
        <f t="shared" ref="E94:H94" si="49">SUM(E95:E96)</f>
        <v>0</v>
      </c>
      <c r="F94" s="60">
        <f t="shared" si="43"/>
        <v>390000</v>
      </c>
      <c r="G94" s="60">
        <f t="shared" si="49"/>
        <v>0</v>
      </c>
      <c r="H94" s="60">
        <f t="shared" si="49"/>
        <v>0</v>
      </c>
      <c r="I94" s="60">
        <f t="shared" si="44"/>
        <v>0</v>
      </c>
      <c r="J94" s="60">
        <f t="shared" si="45"/>
        <v>390000</v>
      </c>
      <c r="L94" s="6"/>
      <c r="M94" s="6"/>
    </row>
    <row r="95" spans="1:13" ht="30" x14ac:dyDescent="0.25">
      <c r="A95" s="298"/>
      <c r="B95" s="32" t="s">
        <v>34</v>
      </c>
      <c r="C95" s="37" t="s">
        <v>185</v>
      </c>
      <c r="D95" s="33">
        <v>370000</v>
      </c>
      <c r="E95" s="33">
        <v>0</v>
      </c>
      <c r="F95" s="33">
        <f t="shared" si="43"/>
        <v>370000</v>
      </c>
      <c r="G95" s="33">
        <v>0</v>
      </c>
      <c r="H95" s="33">
        <v>0</v>
      </c>
      <c r="I95" s="33">
        <f t="shared" si="44"/>
        <v>0</v>
      </c>
      <c r="J95" s="33">
        <f t="shared" si="45"/>
        <v>370000</v>
      </c>
      <c r="L95" s="6"/>
      <c r="M95" s="6"/>
    </row>
    <row r="96" spans="1:13" x14ac:dyDescent="0.25">
      <c r="A96" s="298"/>
      <c r="B96" s="32">
        <v>4</v>
      </c>
      <c r="C96" s="37" t="s">
        <v>15</v>
      </c>
      <c r="D96" s="33">
        <v>20000</v>
      </c>
      <c r="E96" s="33">
        <v>0</v>
      </c>
      <c r="F96" s="33">
        <f t="shared" si="43"/>
        <v>20000</v>
      </c>
      <c r="G96" s="33">
        <v>0</v>
      </c>
      <c r="H96" s="33">
        <v>0</v>
      </c>
      <c r="I96" s="33">
        <f t="shared" si="44"/>
        <v>0</v>
      </c>
      <c r="J96" s="33">
        <f t="shared" si="45"/>
        <v>20000</v>
      </c>
      <c r="L96" s="6"/>
      <c r="M96" s="6"/>
    </row>
    <row r="97" spans="1:13" x14ac:dyDescent="0.25">
      <c r="A97" s="304" t="s">
        <v>44</v>
      </c>
      <c r="B97" s="32"/>
      <c r="C97" s="299" t="s">
        <v>470</v>
      </c>
      <c r="D97" s="60">
        <f>D98</f>
        <v>62000</v>
      </c>
      <c r="E97" s="60">
        <f t="shared" ref="E97:H97" si="50">E98</f>
        <v>0</v>
      </c>
      <c r="F97" s="60">
        <f t="shared" si="43"/>
        <v>62000</v>
      </c>
      <c r="G97" s="60">
        <f t="shared" si="50"/>
        <v>0</v>
      </c>
      <c r="H97" s="60">
        <f t="shared" si="50"/>
        <v>0</v>
      </c>
      <c r="I97" s="60">
        <f t="shared" si="44"/>
        <v>0</v>
      </c>
      <c r="J97" s="60">
        <f t="shared" si="45"/>
        <v>62000</v>
      </c>
      <c r="L97" s="6"/>
      <c r="M97" s="6"/>
    </row>
    <row r="98" spans="1:13" ht="30" x14ac:dyDescent="0.25">
      <c r="A98" s="298"/>
      <c r="B98" s="32" t="s">
        <v>34</v>
      </c>
      <c r="C98" s="37" t="s">
        <v>185</v>
      </c>
      <c r="D98" s="33">
        <v>62000</v>
      </c>
      <c r="E98" s="33">
        <v>0</v>
      </c>
      <c r="F98" s="33">
        <f t="shared" si="43"/>
        <v>62000</v>
      </c>
      <c r="G98" s="33">
        <v>0</v>
      </c>
      <c r="H98" s="33">
        <v>0</v>
      </c>
      <c r="I98" s="33">
        <f t="shared" si="44"/>
        <v>0</v>
      </c>
      <c r="J98" s="33">
        <f t="shared" si="45"/>
        <v>62000</v>
      </c>
      <c r="L98" s="6"/>
      <c r="M98" s="6"/>
    </row>
    <row r="99" spans="1:13" x14ac:dyDescent="0.25">
      <c r="A99" s="298" t="s">
        <v>46</v>
      </c>
      <c r="B99" s="32"/>
      <c r="C99" s="299" t="s">
        <v>131</v>
      </c>
      <c r="D99" s="60">
        <f>D100</f>
        <v>135000</v>
      </c>
      <c r="E99" s="60">
        <f t="shared" ref="E99:H99" si="51">E100</f>
        <v>0</v>
      </c>
      <c r="F99" s="60">
        <f t="shared" si="43"/>
        <v>135000</v>
      </c>
      <c r="G99" s="60">
        <f t="shared" si="51"/>
        <v>0</v>
      </c>
      <c r="H99" s="60">
        <f t="shared" si="51"/>
        <v>0</v>
      </c>
      <c r="I99" s="60">
        <f t="shared" si="44"/>
        <v>0</v>
      </c>
      <c r="J99" s="60">
        <f t="shared" si="45"/>
        <v>135000</v>
      </c>
      <c r="L99" s="6"/>
      <c r="M99" s="6"/>
    </row>
    <row r="100" spans="1:13" ht="30" x14ac:dyDescent="0.25">
      <c r="A100" s="298"/>
      <c r="B100" s="32" t="s">
        <v>34</v>
      </c>
      <c r="C100" s="37" t="s">
        <v>185</v>
      </c>
      <c r="D100" s="33">
        <v>135000</v>
      </c>
      <c r="E100" s="33">
        <v>0</v>
      </c>
      <c r="F100" s="33">
        <f t="shared" si="43"/>
        <v>135000</v>
      </c>
      <c r="G100" s="33">
        <v>0</v>
      </c>
      <c r="H100" s="33">
        <v>0</v>
      </c>
      <c r="I100" s="33">
        <f t="shared" si="44"/>
        <v>0</v>
      </c>
      <c r="J100" s="33">
        <f t="shared" si="45"/>
        <v>135000</v>
      </c>
      <c r="L100" s="6"/>
      <c r="M100" s="6"/>
    </row>
    <row r="101" spans="1:13" x14ac:dyDescent="0.25">
      <c r="A101" s="298" t="s">
        <v>19</v>
      </c>
      <c r="B101" s="32"/>
      <c r="C101" s="299" t="s">
        <v>115</v>
      </c>
      <c r="D101" s="60">
        <f>SUM(D102:D103)</f>
        <v>170000</v>
      </c>
      <c r="E101" s="60">
        <f t="shared" ref="E101:H101" si="52">SUM(E102:E103)</f>
        <v>0</v>
      </c>
      <c r="F101" s="60">
        <f t="shared" si="43"/>
        <v>170000</v>
      </c>
      <c r="G101" s="60">
        <f t="shared" si="52"/>
        <v>0</v>
      </c>
      <c r="H101" s="60">
        <f t="shared" si="52"/>
        <v>0</v>
      </c>
      <c r="I101" s="60">
        <f t="shared" si="44"/>
        <v>0</v>
      </c>
      <c r="J101" s="60">
        <f t="shared" si="45"/>
        <v>170000</v>
      </c>
      <c r="L101" s="6"/>
      <c r="M101" s="6"/>
    </row>
    <row r="102" spans="1:13" ht="30" x14ac:dyDescent="0.25">
      <c r="A102" s="298"/>
      <c r="B102" s="32" t="s">
        <v>34</v>
      </c>
      <c r="C102" s="37" t="s">
        <v>185</v>
      </c>
      <c r="D102" s="33"/>
      <c r="E102" s="33">
        <v>0</v>
      </c>
      <c r="F102" s="33">
        <f t="shared" si="43"/>
        <v>0</v>
      </c>
      <c r="G102" s="33">
        <v>0</v>
      </c>
      <c r="H102" s="33">
        <v>0</v>
      </c>
      <c r="I102" s="33">
        <f t="shared" si="44"/>
        <v>0</v>
      </c>
      <c r="J102" s="33">
        <f t="shared" si="45"/>
        <v>0</v>
      </c>
      <c r="L102" s="6"/>
      <c r="M102" s="6"/>
    </row>
    <row r="103" spans="1:13" x14ac:dyDescent="0.25">
      <c r="A103" s="298"/>
      <c r="B103" s="32">
        <v>4</v>
      </c>
      <c r="C103" s="37" t="s">
        <v>15</v>
      </c>
      <c r="D103" s="33">
        <v>170000</v>
      </c>
      <c r="E103" s="33">
        <v>0</v>
      </c>
      <c r="F103" s="33">
        <f t="shared" si="43"/>
        <v>170000</v>
      </c>
      <c r="G103" s="33">
        <v>0</v>
      </c>
      <c r="H103" s="33">
        <v>0</v>
      </c>
      <c r="I103" s="33">
        <f t="shared" si="44"/>
        <v>0</v>
      </c>
      <c r="J103" s="33">
        <f t="shared" si="45"/>
        <v>170000</v>
      </c>
      <c r="L103" s="6"/>
      <c r="M103" s="6"/>
    </row>
    <row r="104" spans="1:13" x14ac:dyDescent="0.25">
      <c r="A104" s="298" t="s">
        <v>50</v>
      </c>
      <c r="B104" s="32"/>
      <c r="C104" s="299" t="s">
        <v>201</v>
      </c>
      <c r="D104" s="60">
        <f>D105</f>
        <v>0</v>
      </c>
      <c r="E104" s="60">
        <f t="shared" ref="E104:H104" si="53">E105</f>
        <v>0</v>
      </c>
      <c r="F104" s="60">
        <f t="shared" si="43"/>
        <v>0</v>
      </c>
      <c r="G104" s="60">
        <f t="shared" si="53"/>
        <v>0</v>
      </c>
      <c r="H104" s="60">
        <f t="shared" si="53"/>
        <v>0</v>
      </c>
      <c r="I104" s="60">
        <f t="shared" si="44"/>
        <v>0</v>
      </c>
      <c r="J104" s="60">
        <f t="shared" si="45"/>
        <v>0</v>
      </c>
      <c r="L104" s="6"/>
      <c r="M104" s="6"/>
    </row>
    <row r="105" spans="1:13" ht="30" x14ac:dyDescent="0.25">
      <c r="A105" s="32"/>
      <c r="B105" s="32" t="s">
        <v>34</v>
      </c>
      <c r="C105" s="37" t="s">
        <v>185</v>
      </c>
      <c r="D105" s="33"/>
      <c r="E105" s="33">
        <v>0</v>
      </c>
      <c r="F105" s="33">
        <f t="shared" si="43"/>
        <v>0</v>
      </c>
      <c r="G105" s="33">
        <v>0</v>
      </c>
      <c r="H105" s="33"/>
      <c r="I105" s="33">
        <f t="shared" si="44"/>
        <v>0</v>
      </c>
      <c r="J105" s="33">
        <f t="shared" si="45"/>
        <v>0</v>
      </c>
      <c r="L105" s="6"/>
      <c r="M105" s="6"/>
    </row>
    <row r="106" spans="1:13" s="10" customFormat="1" ht="28.5" customHeight="1" x14ac:dyDescent="0.25">
      <c r="A106" s="35" t="s">
        <v>26</v>
      </c>
      <c r="B106" s="35"/>
      <c r="C106" s="38" t="s">
        <v>27</v>
      </c>
      <c r="D106" s="36">
        <f>D107+D109+D111+D113+D115</f>
        <v>12403000</v>
      </c>
      <c r="E106" s="36">
        <f t="shared" ref="E106:H106" si="54">E107+E109+E111+E113+E115</f>
        <v>0</v>
      </c>
      <c r="F106" s="36">
        <f t="shared" si="43"/>
        <v>12403000</v>
      </c>
      <c r="G106" s="36">
        <f t="shared" si="54"/>
        <v>0</v>
      </c>
      <c r="H106" s="36">
        <f t="shared" si="54"/>
        <v>2200000</v>
      </c>
      <c r="I106" s="36">
        <f t="shared" si="44"/>
        <v>2200000</v>
      </c>
      <c r="J106" s="36">
        <f t="shared" si="45"/>
        <v>14603000</v>
      </c>
      <c r="L106" s="30"/>
      <c r="M106" s="6"/>
    </row>
    <row r="107" spans="1:13" x14ac:dyDescent="0.25">
      <c r="A107" s="298" t="s">
        <v>31</v>
      </c>
      <c r="B107" s="298"/>
      <c r="C107" s="299" t="s">
        <v>122</v>
      </c>
      <c r="D107" s="60">
        <f>D108</f>
        <v>1513000</v>
      </c>
      <c r="E107" s="60">
        <f t="shared" ref="E107:H107" si="55">E108</f>
        <v>0</v>
      </c>
      <c r="F107" s="60">
        <f t="shared" si="43"/>
        <v>1513000</v>
      </c>
      <c r="G107" s="60">
        <f t="shared" si="55"/>
        <v>0</v>
      </c>
      <c r="H107" s="60">
        <f t="shared" si="55"/>
        <v>200000</v>
      </c>
      <c r="I107" s="60">
        <f t="shared" si="44"/>
        <v>200000</v>
      </c>
      <c r="J107" s="60">
        <f t="shared" si="45"/>
        <v>1713000</v>
      </c>
      <c r="L107" s="6"/>
      <c r="M107" s="6"/>
    </row>
    <row r="108" spans="1:13" ht="30" x14ac:dyDescent="0.25">
      <c r="A108" s="32"/>
      <c r="B108" s="32" t="s">
        <v>34</v>
      </c>
      <c r="C108" s="37" t="s">
        <v>185</v>
      </c>
      <c r="D108" s="33">
        <v>1513000</v>
      </c>
      <c r="E108" s="33">
        <v>0</v>
      </c>
      <c r="F108" s="33">
        <f t="shared" si="43"/>
        <v>1513000</v>
      </c>
      <c r="G108" s="33">
        <v>0</v>
      </c>
      <c r="H108" s="33">
        <v>200000</v>
      </c>
      <c r="I108" s="33">
        <f t="shared" si="44"/>
        <v>200000</v>
      </c>
      <c r="J108" s="33">
        <f t="shared" si="45"/>
        <v>1713000</v>
      </c>
      <c r="L108" s="6"/>
      <c r="M108" s="6"/>
    </row>
    <row r="109" spans="1:13" x14ac:dyDescent="0.25">
      <c r="A109" s="298" t="s">
        <v>32</v>
      </c>
      <c r="B109" s="298"/>
      <c r="C109" s="50" t="s">
        <v>447</v>
      </c>
      <c r="D109" s="60">
        <f>D110</f>
        <v>9435000</v>
      </c>
      <c r="E109" s="60">
        <f t="shared" ref="E109:H109" si="56">E110</f>
        <v>0</v>
      </c>
      <c r="F109" s="60">
        <f t="shared" si="43"/>
        <v>9435000</v>
      </c>
      <c r="G109" s="60">
        <f t="shared" si="56"/>
        <v>0</v>
      </c>
      <c r="H109" s="60">
        <f t="shared" si="56"/>
        <v>2000000</v>
      </c>
      <c r="I109" s="60">
        <f t="shared" si="44"/>
        <v>2000000</v>
      </c>
      <c r="J109" s="60">
        <f t="shared" si="45"/>
        <v>11435000</v>
      </c>
      <c r="L109" s="6"/>
      <c r="M109" s="6"/>
    </row>
    <row r="110" spans="1:13" ht="30" x14ac:dyDescent="0.25">
      <c r="A110" s="32"/>
      <c r="B110" s="32" t="s">
        <v>34</v>
      </c>
      <c r="C110" s="37" t="s">
        <v>185</v>
      </c>
      <c r="D110" s="33">
        <v>9435000</v>
      </c>
      <c r="E110" s="33">
        <v>0</v>
      </c>
      <c r="F110" s="33">
        <f t="shared" si="43"/>
        <v>9435000</v>
      </c>
      <c r="G110" s="33">
        <v>0</v>
      </c>
      <c r="H110" s="33">
        <v>2000000</v>
      </c>
      <c r="I110" s="33">
        <f t="shared" si="44"/>
        <v>2000000</v>
      </c>
      <c r="J110" s="33">
        <f t="shared" si="45"/>
        <v>11435000</v>
      </c>
      <c r="L110" s="6"/>
      <c r="M110" s="6"/>
    </row>
    <row r="111" spans="1:13" x14ac:dyDescent="0.25">
      <c r="A111" s="304" t="s">
        <v>184</v>
      </c>
      <c r="B111" s="298"/>
      <c r="C111" s="299" t="s">
        <v>471</v>
      </c>
      <c r="D111" s="60">
        <f>D112</f>
        <v>450000</v>
      </c>
      <c r="E111" s="60">
        <f t="shared" ref="E111:H111" si="57">E112</f>
        <v>0</v>
      </c>
      <c r="F111" s="60">
        <f t="shared" si="43"/>
        <v>450000</v>
      </c>
      <c r="G111" s="60">
        <f t="shared" si="57"/>
        <v>0</v>
      </c>
      <c r="H111" s="60">
        <f t="shared" si="57"/>
        <v>0</v>
      </c>
      <c r="I111" s="60">
        <f t="shared" si="44"/>
        <v>0</v>
      </c>
      <c r="J111" s="60">
        <f t="shared" si="45"/>
        <v>450000</v>
      </c>
      <c r="L111" s="6"/>
      <c r="M111" s="6"/>
    </row>
    <row r="112" spans="1:13" ht="30" x14ac:dyDescent="0.25">
      <c r="A112" s="32"/>
      <c r="B112" s="32" t="s">
        <v>34</v>
      </c>
      <c r="C112" s="37" t="s">
        <v>185</v>
      </c>
      <c r="D112" s="33">
        <v>450000</v>
      </c>
      <c r="E112" s="33">
        <v>0</v>
      </c>
      <c r="F112" s="33">
        <f t="shared" si="43"/>
        <v>450000</v>
      </c>
      <c r="G112" s="33">
        <v>0</v>
      </c>
      <c r="H112" s="33">
        <v>0</v>
      </c>
      <c r="I112" s="33">
        <f t="shared" si="44"/>
        <v>0</v>
      </c>
      <c r="J112" s="33">
        <f t="shared" si="45"/>
        <v>450000</v>
      </c>
      <c r="L112" s="6"/>
      <c r="M112" s="6"/>
    </row>
    <row r="113" spans="1:13" ht="30" x14ac:dyDescent="0.25">
      <c r="A113" s="298" t="s">
        <v>174</v>
      </c>
      <c r="B113" s="298"/>
      <c r="C113" s="299" t="s">
        <v>202</v>
      </c>
      <c r="D113" s="60">
        <f>D114</f>
        <v>110000</v>
      </c>
      <c r="E113" s="60">
        <f t="shared" ref="E113:H113" si="58">E114</f>
        <v>0</v>
      </c>
      <c r="F113" s="60">
        <f t="shared" si="43"/>
        <v>110000</v>
      </c>
      <c r="G113" s="60">
        <f t="shared" si="58"/>
        <v>0</v>
      </c>
      <c r="H113" s="60">
        <f t="shared" si="58"/>
        <v>0</v>
      </c>
      <c r="I113" s="60">
        <f t="shared" si="44"/>
        <v>0</v>
      </c>
      <c r="J113" s="60">
        <f t="shared" si="45"/>
        <v>110000</v>
      </c>
      <c r="L113" s="6"/>
      <c r="M113" s="6"/>
    </row>
    <row r="114" spans="1:13" ht="30" x14ac:dyDescent="0.25">
      <c r="A114" s="32"/>
      <c r="B114" s="32" t="s">
        <v>34</v>
      </c>
      <c r="C114" s="37" t="s">
        <v>185</v>
      </c>
      <c r="D114" s="33">
        <v>110000</v>
      </c>
      <c r="E114" s="33">
        <v>0</v>
      </c>
      <c r="F114" s="33">
        <f t="shared" si="43"/>
        <v>110000</v>
      </c>
      <c r="G114" s="33">
        <v>0</v>
      </c>
      <c r="H114" s="33">
        <v>0</v>
      </c>
      <c r="I114" s="33">
        <f t="shared" si="44"/>
        <v>0</v>
      </c>
      <c r="J114" s="33">
        <f t="shared" si="45"/>
        <v>110000</v>
      </c>
      <c r="L114" s="6"/>
      <c r="M114" s="6"/>
    </row>
    <row r="115" spans="1:13" x14ac:dyDescent="0.25">
      <c r="A115" s="298" t="s">
        <v>28</v>
      </c>
      <c r="B115" s="298"/>
      <c r="C115" s="299" t="s">
        <v>121</v>
      </c>
      <c r="D115" s="60">
        <f>D116</f>
        <v>895000</v>
      </c>
      <c r="E115" s="60">
        <f t="shared" ref="E115:H115" si="59">E116</f>
        <v>0</v>
      </c>
      <c r="F115" s="60">
        <f t="shared" si="43"/>
        <v>895000</v>
      </c>
      <c r="G115" s="60">
        <f t="shared" si="59"/>
        <v>0</v>
      </c>
      <c r="H115" s="60">
        <f t="shared" si="59"/>
        <v>0</v>
      </c>
      <c r="I115" s="60">
        <f t="shared" si="44"/>
        <v>0</v>
      </c>
      <c r="J115" s="60">
        <f t="shared" si="45"/>
        <v>895000</v>
      </c>
      <c r="L115" s="6"/>
      <c r="M115" s="6"/>
    </row>
    <row r="116" spans="1:13" ht="30" x14ac:dyDescent="0.25">
      <c r="A116" s="32"/>
      <c r="B116" s="32" t="s">
        <v>34</v>
      </c>
      <c r="C116" s="37" t="s">
        <v>185</v>
      </c>
      <c r="D116" s="33">
        <v>895000</v>
      </c>
      <c r="E116" s="33">
        <v>0</v>
      </c>
      <c r="F116" s="33">
        <f t="shared" si="43"/>
        <v>895000</v>
      </c>
      <c r="G116" s="33">
        <v>0</v>
      </c>
      <c r="H116" s="33">
        <v>0</v>
      </c>
      <c r="I116" s="33">
        <f t="shared" si="44"/>
        <v>0</v>
      </c>
      <c r="J116" s="33">
        <f t="shared" si="45"/>
        <v>895000</v>
      </c>
      <c r="L116" s="6"/>
      <c r="M116" s="6"/>
    </row>
    <row r="117" spans="1:13" s="10" customFormat="1" ht="33" customHeight="1" x14ac:dyDescent="0.25">
      <c r="A117" s="35" t="s">
        <v>56</v>
      </c>
      <c r="B117" s="35"/>
      <c r="C117" s="291" t="s">
        <v>57</v>
      </c>
      <c r="D117" s="36">
        <f>D118</f>
        <v>1420000</v>
      </c>
      <c r="E117" s="36">
        <f t="shared" ref="E117:H118" si="60">E118</f>
        <v>0</v>
      </c>
      <c r="F117" s="36">
        <f t="shared" si="43"/>
        <v>1420000</v>
      </c>
      <c r="G117" s="36">
        <f t="shared" si="60"/>
        <v>0</v>
      </c>
      <c r="H117" s="36">
        <f t="shared" si="60"/>
        <v>315000</v>
      </c>
      <c r="I117" s="36">
        <f t="shared" si="44"/>
        <v>315000</v>
      </c>
      <c r="J117" s="36">
        <f t="shared" si="45"/>
        <v>1735000</v>
      </c>
      <c r="L117" s="30"/>
      <c r="M117" s="6"/>
    </row>
    <row r="118" spans="1:13" ht="29.25" customHeight="1" x14ac:dyDescent="0.25">
      <c r="A118" s="298">
        <v>10702</v>
      </c>
      <c r="B118" s="298"/>
      <c r="C118" s="299" t="s">
        <v>203</v>
      </c>
      <c r="D118" s="60">
        <f>D119</f>
        <v>1420000</v>
      </c>
      <c r="E118" s="60">
        <f t="shared" si="60"/>
        <v>0</v>
      </c>
      <c r="F118" s="60">
        <f t="shared" si="43"/>
        <v>1420000</v>
      </c>
      <c r="G118" s="60">
        <f t="shared" si="60"/>
        <v>0</v>
      </c>
      <c r="H118" s="60">
        <f t="shared" si="60"/>
        <v>315000</v>
      </c>
      <c r="I118" s="60">
        <f t="shared" si="44"/>
        <v>315000</v>
      </c>
      <c r="J118" s="60">
        <f t="shared" si="45"/>
        <v>1735000</v>
      </c>
      <c r="L118" s="6"/>
      <c r="M118" s="6"/>
    </row>
    <row r="119" spans="1:13" ht="30" x14ac:dyDescent="0.25">
      <c r="A119" s="32"/>
      <c r="B119" s="32" t="s">
        <v>34</v>
      </c>
      <c r="C119" s="37" t="s">
        <v>185</v>
      </c>
      <c r="D119" s="33">
        <v>1420000</v>
      </c>
      <c r="E119" s="33">
        <v>0</v>
      </c>
      <c r="F119" s="33">
        <f t="shared" si="43"/>
        <v>1420000</v>
      </c>
      <c r="G119" s="33">
        <v>0</v>
      </c>
      <c r="H119" s="33">
        <v>315000</v>
      </c>
      <c r="I119" s="33">
        <f t="shared" si="44"/>
        <v>315000</v>
      </c>
      <c r="J119" s="33">
        <f t="shared" si="45"/>
        <v>1735000</v>
      </c>
      <c r="L119" s="6"/>
      <c r="M119" s="6"/>
    </row>
    <row r="120" spans="1:13" s="10" customFormat="1" ht="27.75" customHeight="1" x14ac:dyDescent="0.25">
      <c r="A120" s="34" t="s">
        <v>77</v>
      </c>
      <c r="B120" s="35"/>
      <c r="C120" s="38"/>
      <c r="D120" s="36">
        <f>D121+D125</f>
        <v>7449295</v>
      </c>
      <c r="E120" s="36">
        <f t="shared" ref="E120:H120" si="61">E121+E125</f>
        <v>0</v>
      </c>
      <c r="F120" s="33">
        <f t="shared" si="43"/>
        <v>7449295</v>
      </c>
      <c r="G120" s="36">
        <f t="shared" si="61"/>
        <v>0</v>
      </c>
      <c r="H120" s="36">
        <f t="shared" si="61"/>
        <v>0</v>
      </c>
      <c r="I120" s="33">
        <f t="shared" si="44"/>
        <v>0</v>
      </c>
      <c r="J120" s="33">
        <f t="shared" si="45"/>
        <v>7449295</v>
      </c>
      <c r="L120" s="30"/>
      <c r="M120" s="6"/>
    </row>
    <row r="121" spans="1:13" s="10" customFormat="1" ht="24.75" customHeight="1" x14ac:dyDescent="0.25">
      <c r="A121" s="35" t="s">
        <v>1</v>
      </c>
      <c r="B121" s="35"/>
      <c r="C121" s="38" t="s">
        <v>2</v>
      </c>
      <c r="D121" s="36">
        <f>D122</f>
        <v>7349295</v>
      </c>
      <c r="E121" s="36">
        <f t="shared" ref="E121:H121" si="62">E122</f>
        <v>0</v>
      </c>
      <c r="F121" s="36">
        <f t="shared" si="43"/>
        <v>7349295</v>
      </c>
      <c r="G121" s="36">
        <f t="shared" si="62"/>
        <v>0</v>
      </c>
      <c r="H121" s="36">
        <f t="shared" si="62"/>
        <v>0</v>
      </c>
      <c r="I121" s="36">
        <f t="shared" si="44"/>
        <v>0</v>
      </c>
      <c r="J121" s="36">
        <f t="shared" si="45"/>
        <v>7349295</v>
      </c>
      <c r="L121" s="30"/>
      <c r="M121" s="6"/>
    </row>
    <row r="122" spans="1:13" x14ac:dyDescent="0.25">
      <c r="A122" s="298" t="s">
        <v>179</v>
      </c>
      <c r="B122" s="298"/>
      <c r="C122" s="299" t="s">
        <v>195</v>
      </c>
      <c r="D122" s="60">
        <f>SUM(D123:D124)</f>
        <v>7349295</v>
      </c>
      <c r="E122" s="60">
        <f t="shared" ref="E122:H122" si="63">SUM(E123:E124)</f>
        <v>0</v>
      </c>
      <c r="F122" s="60">
        <f t="shared" si="43"/>
        <v>7349295</v>
      </c>
      <c r="G122" s="60">
        <f t="shared" si="63"/>
        <v>0</v>
      </c>
      <c r="H122" s="60">
        <f t="shared" si="63"/>
        <v>0</v>
      </c>
      <c r="I122" s="60">
        <f t="shared" si="44"/>
        <v>0</v>
      </c>
      <c r="J122" s="60">
        <f t="shared" si="45"/>
        <v>7349295</v>
      </c>
      <c r="L122" s="6"/>
      <c r="M122" s="6"/>
    </row>
    <row r="123" spans="1:13" x14ac:dyDescent="0.25">
      <c r="A123" s="32"/>
      <c r="B123" s="32">
        <v>2</v>
      </c>
      <c r="C123" s="37" t="s">
        <v>186</v>
      </c>
      <c r="D123" s="33">
        <v>6489295</v>
      </c>
      <c r="E123" s="33">
        <v>0</v>
      </c>
      <c r="F123" s="33">
        <f t="shared" si="43"/>
        <v>6489295</v>
      </c>
      <c r="G123" s="33">
        <v>0</v>
      </c>
      <c r="H123" s="33">
        <v>0</v>
      </c>
      <c r="I123" s="33">
        <f t="shared" si="44"/>
        <v>0</v>
      </c>
      <c r="J123" s="33">
        <f t="shared" si="45"/>
        <v>6489295</v>
      </c>
      <c r="L123" s="6"/>
      <c r="M123" s="6"/>
    </row>
    <row r="124" spans="1:13" x14ac:dyDescent="0.25">
      <c r="A124" s="32"/>
      <c r="B124" s="32">
        <v>6</v>
      </c>
      <c r="C124" s="37" t="s">
        <v>9</v>
      </c>
      <c r="D124" s="33">
        <v>860000</v>
      </c>
      <c r="E124" s="33">
        <v>0</v>
      </c>
      <c r="F124" s="33">
        <f t="shared" si="43"/>
        <v>860000</v>
      </c>
      <c r="G124" s="33">
        <v>0</v>
      </c>
      <c r="H124" s="33">
        <v>0</v>
      </c>
      <c r="I124" s="33">
        <f t="shared" si="44"/>
        <v>0</v>
      </c>
      <c r="J124" s="33">
        <f t="shared" si="45"/>
        <v>860000</v>
      </c>
      <c r="L124" s="6"/>
      <c r="M124" s="6"/>
    </row>
    <row r="125" spans="1:13" s="10" customFormat="1" ht="25.5" customHeight="1" x14ac:dyDescent="0.25">
      <c r="A125" s="35" t="s">
        <v>17</v>
      </c>
      <c r="B125" s="35"/>
      <c r="C125" s="38" t="s">
        <v>194</v>
      </c>
      <c r="D125" s="36">
        <f>D126</f>
        <v>100000</v>
      </c>
      <c r="E125" s="36">
        <f t="shared" ref="E125:H126" si="64">E126</f>
        <v>0</v>
      </c>
      <c r="F125" s="36">
        <f t="shared" si="43"/>
        <v>100000</v>
      </c>
      <c r="G125" s="36">
        <f t="shared" si="64"/>
        <v>0</v>
      </c>
      <c r="H125" s="36">
        <f t="shared" si="64"/>
        <v>0</v>
      </c>
      <c r="I125" s="36">
        <f t="shared" si="44"/>
        <v>0</v>
      </c>
      <c r="J125" s="36">
        <f t="shared" si="45"/>
        <v>100000</v>
      </c>
      <c r="L125" s="30"/>
      <c r="M125" s="6"/>
    </row>
    <row r="126" spans="1:13" x14ac:dyDescent="0.25">
      <c r="A126" s="298" t="s">
        <v>41</v>
      </c>
      <c r="B126" s="298"/>
      <c r="C126" s="299" t="s">
        <v>128</v>
      </c>
      <c r="D126" s="60">
        <f>D127</f>
        <v>100000</v>
      </c>
      <c r="E126" s="60">
        <f t="shared" si="64"/>
        <v>0</v>
      </c>
      <c r="F126" s="60">
        <f t="shared" si="43"/>
        <v>100000</v>
      </c>
      <c r="G126" s="60">
        <f t="shared" si="64"/>
        <v>0</v>
      </c>
      <c r="H126" s="60">
        <f t="shared" si="64"/>
        <v>0</v>
      </c>
      <c r="I126" s="60">
        <f t="shared" si="44"/>
        <v>0</v>
      </c>
      <c r="J126" s="60">
        <f t="shared" si="45"/>
        <v>100000</v>
      </c>
      <c r="L126" s="6"/>
      <c r="M126" s="6"/>
    </row>
    <row r="127" spans="1:13" x14ac:dyDescent="0.25">
      <c r="A127" s="32"/>
      <c r="B127" s="32">
        <v>4</v>
      </c>
      <c r="C127" s="37" t="s">
        <v>15</v>
      </c>
      <c r="D127" s="33">
        <v>100000</v>
      </c>
      <c r="E127" s="33">
        <v>0</v>
      </c>
      <c r="F127" s="33">
        <f t="shared" si="43"/>
        <v>100000</v>
      </c>
      <c r="G127" s="33">
        <v>0</v>
      </c>
      <c r="H127" s="33">
        <v>0</v>
      </c>
      <c r="I127" s="33">
        <f t="shared" si="44"/>
        <v>0</v>
      </c>
      <c r="J127" s="33">
        <f t="shared" si="45"/>
        <v>100000</v>
      </c>
      <c r="L127" s="6"/>
      <c r="M127" s="6"/>
    </row>
    <row r="128" spans="1:13" s="10" customFormat="1" ht="28.5" customHeight="1" x14ac:dyDescent="0.25">
      <c r="A128" s="34" t="s">
        <v>187</v>
      </c>
      <c r="B128" s="35"/>
      <c r="C128" s="38"/>
      <c r="D128" s="36">
        <f>D129</f>
        <v>0</v>
      </c>
      <c r="E128" s="36">
        <f t="shared" ref="E128:H128" si="65">E129</f>
        <v>0</v>
      </c>
      <c r="F128" s="36">
        <f t="shared" si="43"/>
        <v>0</v>
      </c>
      <c r="G128" s="36">
        <f t="shared" si="65"/>
        <v>20000</v>
      </c>
      <c r="H128" s="36">
        <f t="shared" si="65"/>
        <v>0</v>
      </c>
      <c r="I128" s="36">
        <f t="shared" si="44"/>
        <v>20000</v>
      </c>
      <c r="J128" s="36">
        <f t="shared" si="45"/>
        <v>20000</v>
      </c>
      <c r="L128" s="30"/>
      <c r="M128" s="6"/>
    </row>
    <row r="129" spans="1:13" s="10" customFormat="1" ht="24" customHeight="1" x14ac:dyDescent="0.25">
      <c r="A129" s="35" t="s">
        <v>56</v>
      </c>
      <c r="B129" s="35"/>
      <c r="C129" s="38" t="s">
        <v>57</v>
      </c>
      <c r="D129" s="36">
        <f>D130+D132</f>
        <v>0</v>
      </c>
      <c r="E129" s="36">
        <f t="shared" ref="E129:H129" si="66">E130+E132</f>
        <v>0</v>
      </c>
      <c r="F129" s="36">
        <f t="shared" si="43"/>
        <v>0</v>
      </c>
      <c r="G129" s="36">
        <f t="shared" si="66"/>
        <v>20000</v>
      </c>
      <c r="H129" s="36">
        <f t="shared" si="66"/>
        <v>0</v>
      </c>
      <c r="I129" s="36">
        <f t="shared" si="44"/>
        <v>20000</v>
      </c>
      <c r="J129" s="36">
        <f t="shared" si="45"/>
        <v>20000</v>
      </c>
      <c r="L129" s="30"/>
      <c r="M129" s="6"/>
    </row>
    <row r="130" spans="1:13" ht="30" x14ac:dyDescent="0.25">
      <c r="A130" s="298">
        <v>10121</v>
      </c>
      <c r="B130" s="298"/>
      <c r="C130" s="299" t="s">
        <v>204</v>
      </c>
      <c r="D130" s="60">
        <f>D131</f>
        <v>0</v>
      </c>
      <c r="E130" s="60">
        <f t="shared" ref="E130:H130" si="67">E131</f>
        <v>0</v>
      </c>
      <c r="F130" s="60">
        <f t="shared" si="43"/>
        <v>0</v>
      </c>
      <c r="G130" s="60">
        <f t="shared" si="67"/>
        <v>0</v>
      </c>
      <c r="H130" s="60">
        <f t="shared" si="67"/>
        <v>0</v>
      </c>
      <c r="I130" s="60">
        <f t="shared" si="44"/>
        <v>0</v>
      </c>
      <c r="J130" s="60">
        <f t="shared" si="45"/>
        <v>0</v>
      </c>
      <c r="L130" s="6"/>
      <c r="M130" s="6"/>
    </row>
    <row r="131" spans="1:13" ht="30" x14ac:dyDescent="0.25">
      <c r="A131" s="32"/>
      <c r="B131" s="32" t="s">
        <v>34</v>
      </c>
      <c r="C131" s="37" t="s">
        <v>185</v>
      </c>
      <c r="D131" s="33"/>
      <c r="E131" s="33">
        <v>0</v>
      </c>
      <c r="F131" s="33">
        <f t="shared" si="43"/>
        <v>0</v>
      </c>
      <c r="G131" s="33">
        <v>0</v>
      </c>
      <c r="H131" s="33">
        <v>0</v>
      </c>
      <c r="I131" s="33">
        <f t="shared" si="44"/>
        <v>0</v>
      </c>
      <c r="J131" s="33">
        <f t="shared" si="45"/>
        <v>0</v>
      </c>
      <c r="L131" s="6"/>
      <c r="M131" s="6"/>
    </row>
    <row r="132" spans="1:13" x14ac:dyDescent="0.25">
      <c r="A132" s="298">
        <v>10200</v>
      </c>
      <c r="B132" s="298"/>
      <c r="C132" s="299" t="s">
        <v>168</v>
      </c>
      <c r="D132" s="60">
        <f>D133</f>
        <v>0</v>
      </c>
      <c r="E132" s="60">
        <f t="shared" ref="E132:H132" si="68">E133</f>
        <v>0</v>
      </c>
      <c r="F132" s="60">
        <f t="shared" si="43"/>
        <v>0</v>
      </c>
      <c r="G132" s="60">
        <f t="shared" si="68"/>
        <v>20000</v>
      </c>
      <c r="H132" s="60">
        <f t="shared" si="68"/>
        <v>0</v>
      </c>
      <c r="I132" s="60">
        <f t="shared" si="44"/>
        <v>20000</v>
      </c>
      <c r="J132" s="60">
        <f t="shared" si="45"/>
        <v>20000</v>
      </c>
      <c r="L132" s="6"/>
      <c r="M132" s="6"/>
    </row>
    <row r="133" spans="1:13" ht="30" x14ac:dyDescent="0.25">
      <c r="A133" s="32"/>
      <c r="B133" s="32" t="s">
        <v>34</v>
      </c>
      <c r="C133" s="37" t="s">
        <v>185</v>
      </c>
      <c r="D133" s="33">
        <v>0</v>
      </c>
      <c r="E133" s="33">
        <v>0</v>
      </c>
      <c r="F133" s="33">
        <f t="shared" si="43"/>
        <v>0</v>
      </c>
      <c r="G133" s="33">
        <v>20000</v>
      </c>
      <c r="H133" s="33">
        <v>0</v>
      </c>
      <c r="I133" s="33">
        <f t="shared" si="44"/>
        <v>20000</v>
      </c>
      <c r="J133" s="33">
        <f t="shared" si="45"/>
        <v>20000</v>
      </c>
      <c r="L133" s="6"/>
      <c r="M133" s="6"/>
    </row>
    <row r="134" spans="1:13" x14ac:dyDescent="0.25">
      <c r="M134" s="6"/>
    </row>
    <row r="135" spans="1:13" x14ac:dyDescent="0.25">
      <c r="M135" s="6"/>
    </row>
    <row r="136" spans="1:13" x14ac:dyDescent="0.25">
      <c r="M136" s="6"/>
    </row>
    <row r="137" spans="1:13" x14ac:dyDescent="0.25">
      <c r="M137" s="6"/>
    </row>
    <row r="138" spans="1:13" x14ac:dyDescent="0.25">
      <c r="M138" s="6"/>
    </row>
    <row r="139" spans="1:13" x14ac:dyDescent="0.25">
      <c r="M139" s="6"/>
    </row>
    <row r="140" spans="1:13" x14ac:dyDescent="0.25">
      <c r="M140" s="6"/>
    </row>
    <row r="141" spans="1:13" x14ac:dyDescent="0.25">
      <c r="M141" s="6"/>
    </row>
    <row r="142" spans="1:13" x14ac:dyDescent="0.25">
      <c r="M142" s="6"/>
    </row>
    <row r="143" spans="1:13" x14ac:dyDescent="0.25">
      <c r="M143" s="6"/>
    </row>
    <row r="144" spans="1:13" x14ac:dyDescent="0.25">
      <c r="M144" s="6"/>
    </row>
    <row r="145" spans="13:13" x14ac:dyDescent="0.25">
      <c r="M145" s="6"/>
    </row>
    <row r="146" spans="13:13" x14ac:dyDescent="0.25">
      <c r="M146" s="6"/>
    </row>
    <row r="147" spans="13:13" x14ac:dyDescent="0.25">
      <c r="M147" s="6"/>
    </row>
    <row r="148" spans="13:13" x14ac:dyDescent="0.25">
      <c r="M148" s="6"/>
    </row>
    <row r="149" spans="13:13" x14ac:dyDescent="0.25">
      <c r="M149" s="6"/>
    </row>
    <row r="150" spans="13:13" x14ac:dyDescent="0.25">
      <c r="M150" s="6"/>
    </row>
    <row r="151" spans="13:13" x14ac:dyDescent="0.25">
      <c r="M151" s="6"/>
    </row>
    <row r="152" spans="13:13" x14ac:dyDescent="0.25">
      <c r="M152" s="6"/>
    </row>
    <row r="153" spans="13:13" x14ac:dyDescent="0.25">
      <c r="M153" s="6"/>
    </row>
    <row r="154" spans="13:13" x14ac:dyDescent="0.25">
      <c r="M154" s="6"/>
    </row>
    <row r="155" spans="13:13" x14ac:dyDescent="0.25">
      <c r="M155" s="6"/>
    </row>
    <row r="156" spans="13:13" x14ac:dyDescent="0.25">
      <c r="M156" s="6"/>
    </row>
    <row r="157" spans="13:13" x14ac:dyDescent="0.25">
      <c r="M157" s="6"/>
    </row>
    <row r="158" spans="13:13" x14ac:dyDescent="0.25">
      <c r="M158" s="6"/>
    </row>
    <row r="159" spans="13:13" x14ac:dyDescent="0.25">
      <c r="M159" s="6"/>
    </row>
    <row r="160" spans="13:13" x14ac:dyDescent="0.25">
      <c r="M160" s="6"/>
    </row>
    <row r="161" spans="13:13" x14ac:dyDescent="0.25">
      <c r="M161" s="6"/>
    </row>
    <row r="162" spans="13:13" x14ac:dyDescent="0.25">
      <c r="M162" s="6"/>
    </row>
    <row r="163" spans="13:13" x14ac:dyDescent="0.25">
      <c r="M163" s="6"/>
    </row>
    <row r="164" spans="13:13" x14ac:dyDescent="0.25">
      <c r="M164" s="6"/>
    </row>
    <row r="165" spans="13:13" x14ac:dyDescent="0.25">
      <c r="M165" s="6"/>
    </row>
    <row r="166" spans="13:13" x14ac:dyDescent="0.25">
      <c r="M166" s="6"/>
    </row>
    <row r="167" spans="13:13" x14ac:dyDescent="0.25">
      <c r="M167" s="6"/>
    </row>
    <row r="168" spans="13:13" x14ac:dyDescent="0.25">
      <c r="M168" s="6"/>
    </row>
    <row r="169" spans="13:13" x14ac:dyDescent="0.25">
      <c r="M169" s="6"/>
    </row>
    <row r="170" spans="13:13" x14ac:dyDescent="0.25">
      <c r="M170" s="6"/>
    </row>
  </sheetData>
  <autoFilter ref="A2:J133"/>
  <mergeCells count="4">
    <mergeCell ref="D4:F4"/>
    <mergeCell ref="G4:I4"/>
    <mergeCell ref="J4:J5"/>
    <mergeCell ref="A6:C6"/>
  </mergeCells>
  <pageMargins left="0.70866141732283472" right="0.70866141732283472" top="0.74803149606299213" bottom="0.74803149606299213" header="0.31496062992125984" footer="0.31496062992125984"/>
  <pageSetup paperSize="9" scale="68" firstPageNumber="7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90" zoomScaleNormal="90" workbookViewId="0">
      <pane xSplit="7" ySplit="5" topLeftCell="H45" activePane="bottomRight" state="frozen"/>
      <selection pane="topRight" activeCell="G1" sqref="G1"/>
      <selection pane="bottomLeft" activeCell="A6" sqref="A6"/>
      <selection pane="bottomRight" activeCell="A55" sqref="A55"/>
    </sheetView>
  </sheetViews>
  <sheetFormatPr defaultRowHeight="15" x14ac:dyDescent="0.25"/>
  <cols>
    <col min="1" max="1" width="36.5703125" style="54" customWidth="1"/>
    <col min="2" max="2" width="5.7109375" style="54" customWidth="1"/>
    <col min="3" max="3" width="10.42578125" style="54" customWidth="1"/>
    <col min="4" max="4" width="8.5703125" style="54" customWidth="1"/>
    <col min="5" max="8" width="10.42578125" style="54" customWidth="1"/>
    <col min="9" max="16384" width="9.140625" style="54"/>
  </cols>
  <sheetData>
    <row r="1" spans="1:8" ht="15" customHeight="1" x14ac:dyDescent="0.25">
      <c r="A1" s="54" t="s">
        <v>440</v>
      </c>
      <c r="B1" s="250"/>
      <c r="C1" s="250"/>
      <c r="D1" s="250"/>
      <c r="E1" s="250"/>
      <c r="F1" s="250"/>
      <c r="G1" s="250"/>
    </row>
    <row r="2" spans="1:8" x14ac:dyDescent="0.25">
      <c r="A2" s="54" t="s">
        <v>416</v>
      </c>
      <c r="B2" s="252"/>
      <c r="C2" s="252"/>
      <c r="D2" s="252"/>
      <c r="E2" s="252"/>
      <c r="F2" s="252"/>
      <c r="G2" s="252"/>
    </row>
    <row r="3" spans="1:8" x14ac:dyDescent="0.25">
      <c r="B3" s="251"/>
      <c r="C3" s="251"/>
      <c r="D3" s="251"/>
      <c r="E3" s="251"/>
      <c r="F3" s="251"/>
      <c r="G3" s="251"/>
    </row>
    <row r="4" spans="1:8" ht="78" customHeight="1" x14ac:dyDescent="0.25">
      <c r="A4" s="41" t="s">
        <v>206</v>
      </c>
      <c r="B4" s="57" t="s">
        <v>210</v>
      </c>
      <c r="C4" s="56" t="s">
        <v>207</v>
      </c>
      <c r="D4" s="57" t="s">
        <v>211</v>
      </c>
      <c r="E4" s="56" t="s">
        <v>208</v>
      </c>
      <c r="F4" s="57" t="s">
        <v>550</v>
      </c>
      <c r="G4" s="56" t="s">
        <v>5</v>
      </c>
      <c r="H4" s="57" t="s">
        <v>212</v>
      </c>
    </row>
    <row r="5" spans="1:8" x14ac:dyDescent="0.25">
      <c r="A5" s="32" t="s">
        <v>209</v>
      </c>
      <c r="B5" s="31"/>
      <c r="C5" s="31"/>
      <c r="D5" s="31">
        <v>41</v>
      </c>
      <c r="E5" s="31">
        <v>45</v>
      </c>
      <c r="F5" s="31"/>
      <c r="G5" s="31">
        <v>50</v>
      </c>
      <c r="H5" s="31">
        <v>55</v>
      </c>
    </row>
    <row r="6" spans="1:8" x14ac:dyDescent="0.25">
      <c r="A6" s="243" t="s">
        <v>207</v>
      </c>
      <c r="B6" s="31"/>
      <c r="C6" s="36">
        <f t="shared" ref="C6:H6" si="0">C7+C40+C46+C56+C61</f>
        <v>6669599</v>
      </c>
      <c r="D6" s="36">
        <f t="shared" si="0"/>
        <v>22000</v>
      </c>
      <c r="E6" s="36">
        <f t="shared" si="0"/>
        <v>2278108</v>
      </c>
      <c r="F6" s="36">
        <f t="shared" si="0"/>
        <v>266165</v>
      </c>
      <c r="G6" s="36">
        <f t="shared" si="0"/>
        <v>2672900</v>
      </c>
      <c r="H6" s="36">
        <f t="shared" si="0"/>
        <v>1430426</v>
      </c>
    </row>
    <row r="7" spans="1:8" x14ac:dyDescent="0.25">
      <c r="A7" s="34" t="s">
        <v>51</v>
      </c>
      <c r="B7" s="355" t="s">
        <v>174</v>
      </c>
      <c r="C7" s="36">
        <f>SUM(C8:C15)</f>
        <v>2451187</v>
      </c>
      <c r="D7" s="36">
        <f>SUM(D8:D35)</f>
        <v>0</v>
      </c>
      <c r="E7" s="36">
        <f>SUM(E8:E15)</f>
        <v>459156</v>
      </c>
      <c r="F7" s="36">
        <f>SUM(F8:F15)</f>
        <v>138215</v>
      </c>
      <c r="G7" s="36">
        <f>SUM(G8:G15)</f>
        <v>1655684</v>
      </c>
      <c r="H7" s="36">
        <f>SUM(H8:H15)</f>
        <v>198132</v>
      </c>
    </row>
    <row r="8" spans="1:8" x14ac:dyDescent="0.25">
      <c r="A8" s="32" t="s">
        <v>213</v>
      </c>
      <c r="B8" s="245"/>
      <c r="C8" s="33">
        <f t="shared" ref="C8:C64" si="1">SUM(D8:H8)</f>
        <v>816652</v>
      </c>
      <c r="D8" s="33"/>
      <c r="E8" s="33">
        <v>700</v>
      </c>
      <c r="F8" s="33"/>
      <c r="G8" s="33">
        <v>748425</v>
      </c>
      <c r="H8" s="33">
        <v>67527</v>
      </c>
    </row>
    <row r="9" spans="1:8" x14ac:dyDescent="0.25">
      <c r="A9" s="32" t="s">
        <v>213</v>
      </c>
      <c r="B9" s="245" t="s">
        <v>370</v>
      </c>
      <c r="C9" s="33">
        <f t="shared" si="1"/>
        <v>2000</v>
      </c>
      <c r="D9" s="33"/>
      <c r="E9" s="33"/>
      <c r="F9" s="33"/>
      <c r="G9" s="33"/>
      <c r="H9" s="33">
        <v>2000</v>
      </c>
    </row>
    <row r="10" spans="1:8" x14ac:dyDescent="0.25">
      <c r="A10" s="32" t="s">
        <v>214</v>
      </c>
      <c r="B10" s="245"/>
      <c r="C10" s="33">
        <f t="shared" si="1"/>
        <v>553180</v>
      </c>
      <c r="D10" s="33"/>
      <c r="E10" s="33">
        <v>420</v>
      </c>
      <c r="F10" s="33"/>
      <c r="G10" s="33">
        <f>-48408+537840</f>
        <v>489432</v>
      </c>
      <c r="H10" s="33">
        <v>63328</v>
      </c>
    </row>
    <row r="11" spans="1:8" x14ac:dyDescent="0.25">
      <c r="A11" s="32" t="s">
        <v>214</v>
      </c>
      <c r="B11" s="245" t="s">
        <v>370</v>
      </c>
      <c r="C11" s="33">
        <f t="shared" si="1"/>
        <v>48408</v>
      </c>
      <c r="D11" s="33"/>
      <c r="E11" s="33"/>
      <c r="F11" s="33"/>
      <c r="G11" s="33">
        <v>48408</v>
      </c>
      <c r="H11" s="33"/>
    </row>
    <row r="12" spans="1:8" x14ac:dyDescent="0.25">
      <c r="A12" s="32" t="s">
        <v>215</v>
      </c>
      <c r="B12" s="245"/>
      <c r="C12" s="33">
        <f t="shared" si="1"/>
        <v>353300</v>
      </c>
      <c r="D12" s="33"/>
      <c r="E12" s="33"/>
      <c r="F12" s="33"/>
      <c r="G12" s="33">
        <f>-23151+315954</f>
        <v>292803</v>
      </c>
      <c r="H12" s="33">
        <v>60497</v>
      </c>
    </row>
    <row r="13" spans="1:8" x14ac:dyDescent="0.25">
      <c r="A13" s="32" t="s">
        <v>215</v>
      </c>
      <c r="B13" s="245" t="s">
        <v>370</v>
      </c>
      <c r="C13" s="33">
        <f t="shared" si="1"/>
        <v>23151</v>
      </c>
      <c r="D13" s="33"/>
      <c r="E13" s="33"/>
      <c r="F13" s="33"/>
      <c r="G13" s="33">
        <v>23151</v>
      </c>
      <c r="H13" s="33"/>
    </row>
    <row r="14" spans="1:8" x14ac:dyDescent="0.25">
      <c r="A14" s="32" t="s">
        <v>216</v>
      </c>
      <c r="B14" s="245"/>
      <c r="C14" s="33">
        <f t="shared" si="1"/>
        <v>58293</v>
      </c>
      <c r="D14" s="33"/>
      <c r="E14" s="33">
        <v>48</v>
      </c>
      <c r="F14" s="33"/>
      <c r="G14" s="33">
        <v>53465</v>
      </c>
      <c r="H14" s="33">
        <v>4780</v>
      </c>
    </row>
    <row r="15" spans="1:8" x14ac:dyDescent="0.25">
      <c r="A15" s="35" t="s">
        <v>217</v>
      </c>
      <c r="B15" s="356"/>
      <c r="C15" s="36">
        <f t="shared" si="1"/>
        <v>596203</v>
      </c>
      <c r="D15" s="36"/>
      <c r="E15" s="36">
        <f>SUM(E16:E39)</f>
        <v>457988</v>
      </c>
      <c r="F15" s="36">
        <f>SUM(F16:F39)</f>
        <v>138215</v>
      </c>
      <c r="G15" s="36"/>
      <c r="H15" s="36"/>
    </row>
    <row r="16" spans="1:8" x14ac:dyDescent="0.25">
      <c r="A16" s="31" t="s">
        <v>218</v>
      </c>
      <c r="B16" s="245"/>
      <c r="C16" s="33">
        <f>SUM(D16:H16)</f>
        <v>13650</v>
      </c>
      <c r="D16" s="33"/>
      <c r="E16" s="33">
        <f>13650-1000</f>
        <v>12650</v>
      </c>
      <c r="F16" s="33">
        <v>1000</v>
      </c>
      <c r="G16" s="33"/>
      <c r="H16" s="33"/>
    </row>
    <row r="17" spans="1:8" x14ac:dyDescent="0.25">
      <c r="A17" s="31" t="s">
        <v>219</v>
      </c>
      <c r="B17" s="245"/>
      <c r="C17" s="33">
        <f t="shared" ref="C17:C39" si="2">SUM(D17:H17)</f>
        <v>11375</v>
      </c>
      <c r="D17" s="33"/>
      <c r="E17" s="33">
        <f>11375-1640</f>
        <v>9735</v>
      </c>
      <c r="F17" s="33">
        <v>1640</v>
      </c>
      <c r="G17" s="33"/>
      <c r="H17" s="33"/>
    </row>
    <row r="18" spans="1:8" x14ac:dyDescent="0.25">
      <c r="A18" s="31" t="s">
        <v>220</v>
      </c>
      <c r="B18" s="245"/>
      <c r="C18" s="33">
        <f t="shared" si="2"/>
        <v>5250</v>
      </c>
      <c r="D18" s="33"/>
      <c r="E18" s="33">
        <f>5250-1000</f>
        <v>4250</v>
      </c>
      <c r="F18" s="33">
        <v>1000</v>
      </c>
      <c r="G18" s="33"/>
      <c r="H18" s="33"/>
    </row>
    <row r="19" spans="1:8" x14ac:dyDescent="0.25">
      <c r="A19" s="31" t="s">
        <v>221</v>
      </c>
      <c r="B19" s="245"/>
      <c r="C19" s="33">
        <f t="shared" si="2"/>
        <v>7875</v>
      </c>
      <c r="D19" s="33"/>
      <c r="E19" s="33">
        <f>7875-1000</f>
        <v>6875</v>
      </c>
      <c r="F19" s="33">
        <v>1000</v>
      </c>
      <c r="G19" s="33"/>
      <c r="H19" s="33"/>
    </row>
    <row r="20" spans="1:8" x14ac:dyDescent="0.25">
      <c r="A20" s="31" t="s">
        <v>222</v>
      </c>
      <c r="B20" s="245"/>
      <c r="C20" s="33">
        <f t="shared" si="2"/>
        <v>5775</v>
      </c>
      <c r="D20" s="33"/>
      <c r="E20" s="33">
        <f>-1000+5775</f>
        <v>4775</v>
      </c>
      <c r="F20" s="33">
        <v>1000</v>
      </c>
      <c r="G20" s="33"/>
      <c r="H20" s="33"/>
    </row>
    <row r="21" spans="1:8" x14ac:dyDescent="0.25">
      <c r="A21" s="31" t="s">
        <v>450</v>
      </c>
      <c r="B21" s="245"/>
      <c r="C21" s="33">
        <f t="shared" si="2"/>
        <v>199828</v>
      </c>
      <c r="D21" s="33"/>
      <c r="E21" s="33">
        <f>-8000+199828</f>
        <v>191828</v>
      </c>
      <c r="F21" s="33">
        <v>8000</v>
      </c>
      <c r="G21" s="33"/>
      <c r="H21" s="33"/>
    </row>
    <row r="22" spans="1:8" x14ac:dyDescent="0.25">
      <c r="A22" s="31" t="s">
        <v>223</v>
      </c>
      <c r="B22" s="245"/>
      <c r="C22" s="33">
        <f t="shared" si="2"/>
        <v>31500</v>
      </c>
      <c r="D22" s="33"/>
      <c r="E22" s="33">
        <f>-15000+31500</f>
        <v>16500</v>
      </c>
      <c r="F22" s="33">
        <v>15000</v>
      </c>
      <c r="G22" s="33"/>
      <c r="H22" s="33"/>
    </row>
    <row r="23" spans="1:8" x14ac:dyDescent="0.25">
      <c r="A23" s="31" t="s">
        <v>224</v>
      </c>
      <c r="B23" s="245"/>
      <c r="C23" s="33">
        <f t="shared" si="2"/>
        <v>64400</v>
      </c>
      <c r="D23" s="33"/>
      <c r="E23" s="33">
        <f>-12000+64400</f>
        <v>52400</v>
      </c>
      <c r="F23" s="33">
        <v>12000</v>
      </c>
      <c r="G23" s="33"/>
      <c r="H23" s="33"/>
    </row>
    <row r="24" spans="1:8" x14ac:dyDescent="0.25">
      <c r="A24" s="31" t="s">
        <v>225</v>
      </c>
      <c r="B24" s="245"/>
      <c r="C24" s="33">
        <f t="shared" si="2"/>
        <v>45150</v>
      </c>
      <c r="D24" s="33"/>
      <c r="E24" s="33">
        <f>-15000+45150</f>
        <v>30150</v>
      </c>
      <c r="F24" s="33">
        <v>15000</v>
      </c>
      <c r="G24" s="33"/>
      <c r="H24" s="33"/>
    </row>
    <row r="25" spans="1:8" x14ac:dyDescent="0.25">
      <c r="A25" s="31" t="s">
        <v>226</v>
      </c>
      <c r="B25" s="245"/>
      <c r="C25" s="33">
        <f t="shared" si="2"/>
        <v>700</v>
      </c>
      <c r="D25" s="33"/>
      <c r="E25" s="33">
        <v>700</v>
      </c>
      <c r="F25" s="33"/>
      <c r="G25" s="33"/>
      <c r="H25" s="33"/>
    </row>
    <row r="26" spans="1:8" x14ac:dyDescent="0.25">
      <c r="A26" s="31" t="s">
        <v>227</v>
      </c>
      <c r="B26" s="245"/>
      <c r="C26" s="33">
        <f t="shared" si="2"/>
        <v>4200</v>
      </c>
      <c r="D26" s="33"/>
      <c r="E26" s="33">
        <f>-1000+4200</f>
        <v>3200</v>
      </c>
      <c r="F26" s="33">
        <v>1000</v>
      </c>
      <c r="G26" s="33"/>
      <c r="H26" s="33"/>
    </row>
    <row r="27" spans="1:8" x14ac:dyDescent="0.25">
      <c r="A27" s="31" t="s">
        <v>228</v>
      </c>
      <c r="B27" s="245"/>
      <c r="C27" s="33">
        <f t="shared" si="2"/>
        <v>7175</v>
      </c>
      <c r="D27" s="33"/>
      <c r="E27" s="33">
        <f>-1000+7175</f>
        <v>6175</v>
      </c>
      <c r="F27" s="33">
        <v>1000</v>
      </c>
      <c r="G27" s="33"/>
      <c r="H27" s="33"/>
    </row>
    <row r="28" spans="1:8" x14ac:dyDescent="0.25">
      <c r="A28" s="31" t="s">
        <v>229</v>
      </c>
      <c r="B28" s="245"/>
      <c r="C28" s="33">
        <f t="shared" si="2"/>
        <v>17150</v>
      </c>
      <c r="D28" s="33"/>
      <c r="E28" s="33">
        <f>-1000+17150</f>
        <v>16150</v>
      </c>
      <c r="F28" s="33">
        <v>1000</v>
      </c>
      <c r="G28" s="33"/>
      <c r="H28" s="33"/>
    </row>
    <row r="29" spans="1:8" x14ac:dyDescent="0.25">
      <c r="A29" s="31" t="s">
        <v>230</v>
      </c>
      <c r="B29" s="245"/>
      <c r="C29" s="33">
        <f t="shared" si="2"/>
        <v>11200</v>
      </c>
      <c r="D29" s="33"/>
      <c r="E29" s="33">
        <f>-5000+11200</f>
        <v>6200</v>
      </c>
      <c r="F29" s="33">
        <v>5000</v>
      </c>
      <c r="G29" s="33"/>
      <c r="H29" s="33"/>
    </row>
    <row r="30" spans="1:8" x14ac:dyDescent="0.25">
      <c r="A30" s="31" t="s">
        <v>231</v>
      </c>
      <c r="B30" s="245"/>
      <c r="C30" s="33">
        <f t="shared" si="2"/>
        <v>16450</v>
      </c>
      <c r="D30" s="33"/>
      <c r="E30" s="33">
        <f>-5000+16450</f>
        <v>11450</v>
      </c>
      <c r="F30" s="33">
        <v>5000</v>
      </c>
      <c r="G30" s="33"/>
      <c r="H30" s="33"/>
    </row>
    <row r="31" spans="1:8" x14ac:dyDescent="0.25">
      <c r="A31" s="31" t="s">
        <v>232</v>
      </c>
      <c r="B31" s="245"/>
      <c r="C31" s="33">
        <f t="shared" si="2"/>
        <v>69300</v>
      </c>
      <c r="D31" s="33"/>
      <c r="E31" s="33">
        <f>-16000+69300</f>
        <v>53300</v>
      </c>
      <c r="F31" s="33">
        <v>16000</v>
      </c>
      <c r="G31" s="33"/>
      <c r="H31" s="33"/>
    </row>
    <row r="32" spans="1:8" x14ac:dyDescent="0.25">
      <c r="A32" s="31" t="s">
        <v>233</v>
      </c>
      <c r="B32" s="245"/>
      <c r="C32" s="33">
        <f t="shared" si="2"/>
        <v>25375</v>
      </c>
      <c r="D32" s="33"/>
      <c r="E32" s="33">
        <f>-10000+25375</f>
        <v>15375</v>
      </c>
      <c r="F32" s="33">
        <v>10000</v>
      </c>
      <c r="G32" s="33"/>
      <c r="H32" s="33"/>
    </row>
    <row r="33" spans="1:8" x14ac:dyDescent="0.25">
      <c r="A33" s="31" t="s">
        <v>234</v>
      </c>
      <c r="B33" s="245"/>
      <c r="C33" s="33">
        <f t="shared" si="2"/>
        <v>875</v>
      </c>
      <c r="D33" s="33"/>
      <c r="E33" s="33">
        <v>875</v>
      </c>
      <c r="F33" s="33"/>
      <c r="G33" s="33"/>
      <c r="H33" s="33"/>
    </row>
    <row r="34" spans="1:8" x14ac:dyDescent="0.25">
      <c r="A34" s="31" t="s">
        <v>235</v>
      </c>
      <c r="B34" s="245"/>
      <c r="C34" s="33">
        <f t="shared" si="2"/>
        <v>6125</v>
      </c>
      <c r="D34" s="33"/>
      <c r="E34" s="33">
        <f>-2000+6125</f>
        <v>4125</v>
      </c>
      <c r="F34" s="33">
        <v>2000</v>
      </c>
      <c r="G34" s="33"/>
      <c r="H34" s="33"/>
    </row>
    <row r="35" spans="1:8" x14ac:dyDescent="0.25">
      <c r="A35" s="31" t="s">
        <v>236</v>
      </c>
      <c r="B35" s="245"/>
      <c r="C35" s="33">
        <f t="shared" si="2"/>
        <v>16275</v>
      </c>
      <c r="D35" s="33"/>
      <c r="E35" s="33">
        <f>-5000+16275</f>
        <v>11275</v>
      </c>
      <c r="F35" s="33">
        <v>5000</v>
      </c>
      <c r="G35" s="33"/>
      <c r="H35" s="33"/>
    </row>
    <row r="36" spans="1:8" x14ac:dyDescent="0.25">
      <c r="A36" s="37" t="s">
        <v>451</v>
      </c>
      <c r="B36" s="245"/>
      <c r="C36" s="33">
        <f t="shared" si="2"/>
        <v>12950</v>
      </c>
      <c r="D36" s="33"/>
      <c r="E36" s="33">
        <f>-12950+12950</f>
        <v>0</v>
      </c>
      <c r="F36" s="33">
        <v>12950</v>
      </c>
      <c r="G36" s="33"/>
      <c r="H36" s="33"/>
    </row>
    <row r="37" spans="1:8" ht="30" x14ac:dyDescent="0.25">
      <c r="A37" s="37" t="s">
        <v>452</v>
      </c>
      <c r="B37" s="245"/>
      <c r="C37" s="33">
        <f t="shared" si="2"/>
        <v>15050</v>
      </c>
      <c r="D37" s="33"/>
      <c r="E37" s="33">
        <f>-15050+15050</f>
        <v>0</v>
      </c>
      <c r="F37" s="33">
        <v>15050</v>
      </c>
      <c r="G37" s="33"/>
      <c r="H37" s="33"/>
    </row>
    <row r="38" spans="1:8" x14ac:dyDescent="0.25">
      <c r="A38" s="37" t="s">
        <v>453</v>
      </c>
      <c r="B38" s="245"/>
      <c r="C38" s="33">
        <f t="shared" si="2"/>
        <v>6825</v>
      </c>
      <c r="D38" s="33"/>
      <c r="E38" s="33">
        <f>-6825+6825</f>
        <v>0</v>
      </c>
      <c r="F38" s="33">
        <v>6825</v>
      </c>
      <c r="G38" s="33"/>
      <c r="H38" s="33"/>
    </row>
    <row r="39" spans="1:8" x14ac:dyDescent="0.25">
      <c r="A39" s="31" t="s">
        <v>454</v>
      </c>
      <c r="B39" s="245"/>
      <c r="C39" s="33">
        <f t="shared" si="2"/>
        <v>1750</v>
      </c>
      <c r="D39" s="33"/>
      <c r="E39" s="33">
        <f>-1750+1750</f>
        <v>0</v>
      </c>
      <c r="F39" s="33">
        <v>1750</v>
      </c>
      <c r="G39" s="33"/>
      <c r="H39" s="33"/>
    </row>
    <row r="40" spans="1:8" x14ac:dyDescent="0.25">
      <c r="A40" s="34" t="s">
        <v>237</v>
      </c>
      <c r="B40" s="244" t="s">
        <v>174</v>
      </c>
      <c r="C40" s="36">
        <f>SUM(D40:H40)</f>
        <v>937921</v>
      </c>
      <c r="D40" s="36">
        <f t="shared" ref="D40" si="3">SUM(D41:D45)</f>
        <v>0</v>
      </c>
      <c r="E40" s="36">
        <f>SUM(E41:E42)</f>
        <v>260742</v>
      </c>
      <c r="F40" s="36">
        <f>SUM(F41:F42)</f>
        <v>127950</v>
      </c>
      <c r="G40" s="36">
        <f t="shared" ref="G40:H40" si="4">SUM(G41:G42)</f>
        <v>248804</v>
      </c>
      <c r="H40" s="36">
        <f t="shared" si="4"/>
        <v>300425</v>
      </c>
    </row>
    <row r="41" spans="1:8" x14ac:dyDescent="0.25">
      <c r="A41" s="32" t="s">
        <v>455</v>
      </c>
      <c r="B41" s="246"/>
      <c r="C41" s="33">
        <f t="shared" si="1"/>
        <v>381831</v>
      </c>
      <c r="D41" s="33"/>
      <c r="E41" s="33"/>
      <c r="F41" s="33"/>
      <c r="G41" s="33">
        <v>248804</v>
      </c>
      <c r="H41" s="33">
        <v>133027</v>
      </c>
    </row>
    <row r="42" spans="1:8" x14ac:dyDescent="0.25">
      <c r="A42" s="32" t="s">
        <v>217</v>
      </c>
      <c r="B42" s="246"/>
      <c r="C42" s="33">
        <f t="shared" si="1"/>
        <v>556090</v>
      </c>
      <c r="D42" s="33">
        <f>SUM(D43:D45)</f>
        <v>0</v>
      </c>
      <c r="E42" s="33">
        <f t="shared" ref="E42:H42" si="5">SUM(E43:E45)</f>
        <v>260742</v>
      </c>
      <c r="F42" s="33">
        <f t="shared" si="5"/>
        <v>127950</v>
      </c>
      <c r="G42" s="33">
        <f t="shared" si="5"/>
        <v>0</v>
      </c>
      <c r="H42" s="33">
        <f t="shared" si="5"/>
        <v>167398</v>
      </c>
    </row>
    <row r="43" spans="1:8" x14ac:dyDescent="0.25">
      <c r="A43" s="32" t="s">
        <v>456</v>
      </c>
      <c r="B43" s="246"/>
      <c r="C43" s="33">
        <f t="shared" si="1"/>
        <v>283792</v>
      </c>
      <c r="D43" s="33"/>
      <c r="E43" s="33">
        <f>-109163+283792</f>
        <v>174629</v>
      </c>
      <c r="F43" s="33">
        <v>109163</v>
      </c>
      <c r="G43" s="33"/>
      <c r="H43" s="33"/>
    </row>
    <row r="44" spans="1:8" x14ac:dyDescent="0.25">
      <c r="A44" s="32" t="s">
        <v>457</v>
      </c>
      <c r="B44" s="246"/>
      <c r="C44" s="33">
        <f t="shared" si="1"/>
        <v>104900</v>
      </c>
      <c r="D44" s="33"/>
      <c r="E44" s="33">
        <f>-18787+104900</f>
        <v>86113</v>
      </c>
      <c r="F44" s="33">
        <v>18787</v>
      </c>
      <c r="G44" s="33"/>
      <c r="H44" s="33"/>
    </row>
    <row r="45" spans="1:8" x14ac:dyDescent="0.25">
      <c r="A45" s="32" t="s">
        <v>458</v>
      </c>
      <c r="B45" s="246"/>
      <c r="C45" s="33">
        <f t="shared" si="1"/>
        <v>167398</v>
      </c>
      <c r="D45" s="33"/>
      <c r="E45" s="33"/>
      <c r="F45" s="33"/>
      <c r="G45" s="33"/>
      <c r="H45" s="33">
        <v>167398</v>
      </c>
    </row>
    <row r="46" spans="1:8" x14ac:dyDescent="0.25">
      <c r="A46" s="34" t="s">
        <v>238</v>
      </c>
      <c r="B46" s="247" t="s">
        <v>25</v>
      </c>
      <c r="C46" s="36">
        <f>C47+C48+C51</f>
        <v>2160117</v>
      </c>
      <c r="D46" s="36">
        <f>D47+D48+D51</f>
        <v>22000</v>
      </c>
      <c r="E46" s="36">
        <f>E47+E48+E51</f>
        <v>1527050</v>
      </c>
      <c r="F46" s="36"/>
      <c r="G46" s="36">
        <f>G47+G48+G51</f>
        <v>10400</v>
      </c>
      <c r="H46" s="36">
        <f>H47+H48+H51</f>
        <v>600667</v>
      </c>
    </row>
    <row r="47" spans="1:8" x14ac:dyDescent="0.25">
      <c r="A47" s="59" t="s">
        <v>240</v>
      </c>
      <c r="B47" s="248"/>
      <c r="C47" s="60">
        <f t="shared" si="1"/>
        <v>748650</v>
      </c>
      <c r="D47" s="60">
        <v>22000</v>
      </c>
      <c r="E47" s="60">
        <v>726650</v>
      </c>
      <c r="F47" s="60"/>
      <c r="G47" s="60"/>
      <c r="H47" s="60"/>
    </row>
    <row r="48" spans="1:8" x14ac:dyDescent="0.25">
      <c r="A48" s="59" t="s">
        <v>241</v>
      </c>
      <c r="B48" s="248"/>
      <c r="C48" s="60">
        <f>SUM(C49:C50)</f>
        <v>104500</v>
      </c>
      <c r="D48" s="60">
        <f>SUM(D49:D50)</f>
        <v>0</v>
      </c>
      <c r="E48" s="60">
        <f>SUM(E49:E50)</f>
        <v>65000</v>
      </c>
      <c r="F48" s="60"/>
      <c r="G48" s="60">
        <f>SUM(G49:G50)</f>
        <v>0</v>
      </c>
      <c r="H48" s="60">
        <f>SUM(H49:H50)</f>
        <v>39500</v>
      </c>
    </row>
    <row r="49" spans="1:8" x14ac:dyDescent="0.25">
      <c r="A49" s="32" t="s">
        <v>242</v>
      </c>
      <c r="B49" s="249"/>
      <c r="C49" s="33">
        <f t="shared" si="1"/>
        <v>65000</v>
      </c>
      <c r="D49" s="33"/>
      <c r="E49" s="33">
        <v>65000</v>
      </c>
      <c r="F49" s="33"/>
      <c r="G49" s="33"/>
      <c r="H49" s="33"/>
    </row>
    <row r="50" spans="1:8" x14ac:dyDescent="0.25">
      <c r="A50" s="32" t="s">
        <v>455</v>
      </c>
      <c r="B50" s="249"/>
      <c r="C50" s="33">
        <f t="shared" si="1"/>
        <v>39500</v>
      </c>
      <c r="D50" s="33"/>
      <c r="E50" s="33"/>
      <c r="F50" s="33"/>
      <c r="G50" s="33"/>
      <c r="H50" s="33">
        <v>39500</v>
      </c>
    </row>
    <row r="51" spans="1:8" x14ac:dyDescent="0.25">
      <c r="A51" s="59" t="s">
        <v>243</v>
      </c>
      <c r="B51" s="248"/>
      <c r="C51" s="60">
        <f>SUM(C52:C55)</f>
        <v>1306967</v>
      </c>
      <c r="D51" s="60">
        <f t="shared" ref="D51:H51" si="6">SUM(D52:D55)</f>
        <v>0</v>
      </c>
      <c r="E51" s="60">
        <f t="shared" si="6"/>
        <v>735400</v>
      </c>
      <c r="F51" s="60"/>
      <c r="G51" s="60">
        <f t="shared" si="6"/>
        <v>10400</v>
      </c>
      <c r="H51" s="60">
        <f t="shared" si="6"/>
        <v>561167</v>
      </c>
    </row>
    <row r="52" spans="1:8" x14ac:dyDescent="0.25">
      <c r="A52" s="32" t="s">
        <v>242</v>
      </c>
      <c r="B52" s="249"/>
      <c r="C52" s="33">
        <f t="shared" si="1"/>
        <v>735400</v>
      </c>
      <c r="D52" s="33"/>
      <c r="E52" s="33">
        <f>-13000+748400</f>
        <v>735400</v>
      </c>
      <c r="F52" s="33"/>
      <c r="G52" s="33"/>
      <c r="H52" s="33"/>
    </row>
    <row r="53" spans="1:8" x14ac:dyDescent="0.25">
      <c r="A53" s="32" t="s">
        <v>244</v>
      </c>
      <c r="B53" s="249"/>
      <c r="C53" s="33">
        <f t="shared" si="1"/>
        <v>567367</v>
      </c>
      <c r="D53" s="33"/>
      <c r="E53" s="33"/>
      <c r="F53" s="33"/>
      <c r="G53" s="33">
        <v>10400</v>
      </c>
      <c r="H53" s="33">
        <f>13000+543967</f>
        <v>556967</v>
      </c>
    </row>
    <row r="54" spans="1:8" x14ac:dyDescent="0.25">
      <c r="A54" s="32" t="s">
        <v>246</v>
      </c>
      <c r="B54" s="249"/>
      <c r="C54" s="33">
        <f t="shared" si="1"/>
        <v>1200</v>
      </c>
      <c r="D54" s="33"/>
      <c r="E54" s="33"/>
      <c r="F54" s="33"/>
      <c r="G54" s="33"/>
      <c r="H54" s="33">
        <v>1200</v>
      </c>
    </row>
    <row r="55" spans="1:8" x14ac:dyDescent="0.25">
      <c r="A55" s="32" t="s">
        <v>245</v>
      </c>
      <c r="B55" s="249"/>
      <c r="C55" s="33">
        <f t="shared" si="1"/>
        <v>3000</v>
      </c>
      <c r="D55" s="33"/>
      <c r="E55" s="33"/>
      <c r="F55" s="33"/>
      <c r="G55" s="33"/>
      <c r="H55" s="33">
        <v>3000</v>
      </c>
    </row>
    <row r="56" spans="1:8" x14ac:dyDescent="0.25">
      <c r="A56" s="34" t="s">
        <v>183</v>
      </c>
      <c r="B56" s="247" t="s">
        <v>45</v>
      </c>
      <c r="C56" s="36">
        <f>SUM(C57:C58)</f>
        <v>227623</v>
      </c>
      <c r="D56" s="36">
        <f t="shared" ref="D56:H56" si="7">SUM(D57:D58)</f>
        <v>0</v>
      </c>
      <c r="E56" s="36">
        <f t="shared" si="7"/>
        <v>30000</v>
      </c>
      <c r="F56" s="36"/>
      <c r="G56" s="36">
        <f t="shared" si="7"/>
        <v>127757</v>
      </c>
      <c r="H56" s="36">
        <f t="shared" si="7"/>
        <v>69866</v>
      </c>
    </row>
    <row r="57" spans="1:8" x14ac:dyDescent="0.25">
      <c r="A57" s="32" t="s">
        <v>244</v>
      </c>
      <c r="B57" s="246"/>
      <c r="C57" s="33">
        <f>SUM(D57:H57)</f>
        <v>197623</v>
      </c>
      <c r="D57" s="33"/>
      <c r="E57" s="33"/>
      <c r="F57" s="33"/>
      <c r="G57" s="33">
        <v>127757</v>
      </c>
      <c r="H57" s="33">
        <v>69866</v>
      </c>
    </row>
    <row r="58" spans="1:8" x14ac:dyDescent="0.25">
      <c r="A58" s="32" t="s">
        <v>461</v>
      </c>
      <c r="B58" s="246"/>
      <c r="C58" s="33">
        <f t="shared" si="1"/>
        <v>30000</v>
      </c>
      <c r="D58" s="33">
        <f>SUM(D59:D60)</f>
        <v>0</v>
      </c>
      <c r="E58" s="33">
        <f t="shared" ref="E58:H58" si="8">SUM(E59:E60)</f>
        <v>30000</v>
      </c>
      <c r="F58" s="33"/>
      <c r="G58" s="33">
        <f t="shared" si="8"/>
        <v>0</v>
      </c>
      <c r="H58" s="33">
        <f t="shared" si="8"/>
        <v>0</v>
      </c>
    </row>
    <row r="59" spans="1:8" x14ac:dyDescent="0.25">
      <c r="A59" s="32" t="s">
        <v>462</v>
      </c>
      <c r="B59" s="246"/>
      <c r="C59" s="33">
        <f t="shared" si="1"/>
        <v>12000</v>
      </c>
      <c r="D59" s="33"/>
      <c r="E59" s="33">
        <v>12000</v>
      </c>
      <c r="F59" s="33"/>
      <c r="G59" s="33"/>
      <c r="H59" s="33"/>
    </row>
    <row r="60" spans="1:8" x14ac:dyDescent="0.25">
      <c r="A60" s="32" t="s">
        <v>463</v>
      </c>
      <c r="B60" s="246"/>
      <c r="C60" s="33">
        <f t="shared" si="1"/>
        <v>18000</v>
      </c>
      <c r="D60" s="33"/>
      <c r="E60" s="33">
        <v>18000</v>
      </c>
      <c r="F60" s="33"/>
      <c r="G60" s="33"/>
      <c r="H60" s="33"/>
    </row>
    <row r="61" spans="1:8" x14ac:dyDescent="0.25">
      <c r="A61" s="34" t="s">
        <v>47</v>
      </c>
      <c r="B61" s="247" t="s">
        <v>46</v>
      </c>
      <c r="C61" s="36">
        <f>SUM(C62:C64)</f>
        <v>892751</v>
      </c>
      <c r="D61" s="36">
        <f t="shared" ref="D61:H61" si="9">SUM(D62:D64)</f>
        <v>0</v>
      </c>
      <c r="E61" s="36">
        <f t="shared" si="9"/>
        <v>1160</v>
      </c>
      <c r="F61" s="36"/>
      <c r="G61" s="36">
        <f t="shared" si="9"/>
        <v>630255</v>
      </c>
      <c r="H61" s="36">
        <f t="shared" si="9"/>
        <v>261336</v>
      </c>
    </row>
    <row r="62" spans="1:8" x14ac:dyDescent="0.25">
      <c r="A62" s="32" t="s">
        <v>245</v>
      </c>
      <c r="B62" s="246"/>
      <c r="C62" s="33">
        <f t="shared" si="1"/>
        <v>624601</v>
      </c>
      <c r="D62" s="33"/>
      <c r="E62" s="33"/>
      <c r="F62" s="33"/>
      <c r="G62" s="33">
        <v>407915</v>
      </c>
      <c r="H62" s="33">
        <v>216686</v>
      </c>
    </row>
    <row r="63" spans="1:8" x14ac:dyDescent="0.25">
      <c r="A63" s="32" t="s">
        <v>247</v>
      </c>
      <c r="B63" s="246"/>
      <c r="C63" s="33">
        <f t="shared" si="1"/>
        <v>266990</v>
      </c>
      <c r="D63" s="33"/>
      <c r="E63" s="33"/>
      <c r="F63" s="33"/>
      <c r="G63" s="33">
        <v>222340</v>
      </c>
      <c r="H63" s="33">
        <v>44650</v>
      </c>
    </row>
    <row r="64" spans="1:8" x14ac:dyDescent="0.25">
      <c r="A64" s="32" t="s">
        <v>242</v>
      </c>
      <c r="B64" s="246"/>
      <c r="C64" s="33">
        <f t="shared" si="1"/>
        <v>1160</v>
      </c>
      <c r="D64" s="33"/>
      <c r="E64" s="33">
        <v>1160</v>
      </c>
      <c r="F64" s="33"/>
      <c r="G64" s="33"/>
      <c r="H64" s="33"/>
    </row>
    <row r="65" spans="3:8" x14ac:dyDescent="0.25">
      <c r="C65" s="58"/>
      <c r="D65" s="58"/>
      <c r="E65" s="58"/>
      <c r="F65" s="58"/>
      <c r="G65" s="58"/>
      <c r="H65" s="58"/>
    </row>
    <row r="66" spans="3:8" x14ac:dyDescent="0.25">
      <c r="C66" s="58"/>
      <c r="D66" s="58"/>
      <c r="E66" s="58"/>
      <c r="F66" s="58"/>
      <c r="G66" s="58"/>
      <c r="H66" s="58"/>
    </row>
    <row r="67" spans="3:8" x14ac:dyDescent="0.25">
      <c r="C67" s="58"/>
      <c r="D67" s="58"/>
      <c r="E67" s="58"/>
      <c r="F67" s="58"/>
      <c r="G67" s="58"/>
      <c r="H67" s="58"/>
    </row>
  </sheetData>
  <pageMargins left="0.70866141732283472" right="0.70866141732283472" top="0.74803149606299213" bottom="0.74803149606299213" header="0.31496062992125984" footer="0.31496062992125984"/>
  <pageSetup paperSize="9" scale="94" firstPageNumber="10" fitToHeight="0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F21" sqref="AF21"/>
    </sheetView>
  </sheetViews>
  <sheetFormatPr defaultRowHeight="15" x14ac:dyDescent="0.25"/>
  <cols>
    <col min="1" max="1" width="28.7109375" style="2" customWidth="1"/>
    <col min="2" max="2" width="8" style="2" customWidth="1"/>
    <col min="3" max="3" width="3.7109375" style="2" bestFit="1" customWidth="1"/>
    <col min="4" max="4" width="10.28515625" style="2" customWidth="1"/>
    <col min="5" max="5" width="5" style="2" hidden="1" customWidth="1"/>
    <col min="6" max="6" width="8.42578125" style="2" bestFit="1" customWidth="1"/>
    <col min="7" max="7" width="8.42578125" style="2" hidden="1" customWidth="1"/>
    <col min="8" max="10" width="8" style="2" hidden="1" customWidth="1"/>
    <col min="11" max="11" width="8" style="2" customWidth="1"/>
    <col min="12" max="12" width="8" style="2" hidden="1" customWidth="1"/>
    <col min="13" max="13" width="9.140625" style="68"/>
    <col min="14" max="14" width="9.140625" style="2" customWidth="1"/>
    <col min="15" max="15" width="9" style="2" hidden="1" customWidth="1"/>
    <col min="16" max="16" width="7.140625" style="2" hidden="1" customWidth="1"/>
    <col min="17" max="17" width="5.42578125" style="2" hidden="1" customWidth="1"/>
    <col min="18" max="18" width="7.42578125" style="2" hidden="1" customWidth="1"/>
    <col min="19" max="19" width="8.42578125" style="2" bestFit="1" customWidth="1"/>
    <col min="20" max="20" width="7.28515625" style="2" hidden="1" customWidth="1"/>
    <col min="21" max="22" width="6.140625" style="2" hidden="1" customWidth="1"/>
    <col min="23" max="23" width="7.42578125" style="2" hidden="1" customWidth="1"/>
    <col min="24" max="24" width="6.140625" style="2" hidden="1" customWidth="1"/>
    <col min="25" max="25" width="6.42578125" style="2" hidden="1" customWidth="1"/>
    <col min="26" max="26" width="7" style="2" hidden="1" customWidth="1"/>
    <col min="27" max="27" width="5.5703125" style="2" hidden="1" customWidth="1"/>
    <col min="28" max="28" width="5.140625" style="2" hidden="1" customWidth="1"/>
    <col min="29" max="29" width="6.28515625" style="2" hidden="1" customWidth="1"/>
    <col min="30" max="30" width="7.42578125" style="2" hidden="1" customWidth="1"/>
    <col min="31" max="31" width="5" style="2" hidden="1" customWidth="1"/>
    <col min="32" max="16384" width="9.140625" style="2"/>
  </cols>
  <sheetData>
    <row r="1" spans="1:257" ht="36" customHeight="1" x14ac:dyDescent="0.25">
      <c r="A1" s="394" t="s">
        <v>474</v>
      </c>
      <c r="B1" s="395"/>
      <c r="C1" s="395"/>
      <c r="D1" s="395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257" x14ac:dyDescent="0.25">
      <c r="A2" s="67" t="s">
        <v>473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4" spans="1:257" ht="117" x14ac:dyDescent="0.25">
      <c r="A4" s="69" t="s">
        <v>206</v>
      </c>
      <c r="B4" s="70" t="s">
        <v>321</v>
      </c>
      <c r="C4" s="70" t="s">
        <v>322</v>
      </c>
      <c r="D4" s="71" t="s">
        <v>323</v>
      </c>
      <c r="E4" s="70" t="s">
        <v>324</v>
      </c>
      <c r="F4" s="70" t="s">
        <v>475</v>
      </c>
      <c r="G4" s="70" t="s">
        <v>325</v>
      </c>
      <c r="H4" s="70" t="s">
        <v>326</v>
      </c>
      <c r="I4" s="70" t="s">
        <v>420</v>
      </c>
      <c r="J4" s="70" t="s">
        <v>327</v>
      </c>
      <c r="K4" s="70" t="s">
        <v>476</v>
      </c>
      <c r="L4" s="70" t="s">
        <v>328</v>
      </c>
      <c r="M4" s="71" t="s">
        <v>329</v>
      </c>
      <c r="N4" s="70" t="s">
        <v>5</v>
      </c>
      <c r="O4" s="315" t="s">
        <v>330</v>
      </c>
      <c r="P4" s="315" t="s">
        <v>331</v>
      </c>
      <c r="Q4" s="315" t="s">
        <v>332</v>
      </c>
      <c r="R4" s="315" t="s">
        <v>333</v>
      </c>
      <c r="S4" s="315" t="s">
        <v>7</v>
      </c>
      <c r="T4" s="314" t="s">
        <v>334</v>
      </c>
      <c r="U4" s="314" t="s">
        <v>335</v>
      </c>
      <c r="V4" s="314" t="s">
        <v>336</v>
      </c>
      <c r="W4" s="313" t="s">
        <v>337</v>
      </c>
      <c r="X4" s="313" t="s">
        <v>338</v>
      </c>
      <c r="Y4" s="313" t="s">
        <v>339</v>
      </c>
      <c r="Z4" s="314" t="s">
        <v>340</v>
      </c>
      <c r="AA4" s="314" t="s">
        <v>341</v>
      </c>
      <c r="AB4" s="314" t="s">
        <v>342</v>
      </c>
      <c r="AC4" s="314" t="s">
        <v>343</v>
      </c>
      <c r="AD4" s="313" t="s">
        <v>344</v>
      </c>
      <c r="AE4" s="313" t="s">
        <v>345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</row>
    <row r="5" spans="1:257" x14ac:dyDescent="0.25">
      <c r="A5" s="61" t="s">
        <v>346</v>
      </c>
      <c r="B5" s="73"/>
      <c r="C5" s="73"/>
      <c r="D5" s="73"/>
      <c r="E5" s="61">
        <v>3500</v>
      </c>
      <c r="F5" s="61">
        <v>32</v>
      </c>
      <c r="G5" s="61">
        <v>3220</v>
      </c>
      <c r="H5" s="61">
        <v>3221</v>
      </c>
      <c r="I5" s="61">
        <v>3222</v>
      </c>
      <c r="J5" s="61">
        <v>3233</v>
      </c>
      <c r="K5" s="61">
        <v>38</v>
      </c>
      <c r="L5" s="61">
        <v>3818</v>
      </c>
      <c r="M5" s="62"/>
      <c r="N5" s="74">
        <v>50</v>
      </c>
      <c r="O5" s="61">
        <v>5002</v>
      </c>
      <c r="P5" s="61">
        <v>5005</v>
      </c>
      <c r="Q5" s="61">
        <v>5050</v>
      </c>
      <c r="R5" s="61">
        <v>5060</v>
      </c>
      <c r="S5" s="61">
        <v>55</v>
      </c>
      <c r="T5" s="75">
        <v>5500</v>
      </c>
      <c r="U5" s="75">
        <v>5503</v>
      </c>
      <c r="V5" s="75">
        <v>5504</v>
      </c>
      <c r="W5" s="75">
        <v>5511</v>
      </c>
      <c r="X5" s="75">
        <v>5513</v>
      </c>
      <c r="Y5" s="75">
        <v>5514</v>
      </c>
      <c r="Z5" s="75">
        <v>5515</v>
      </c>
      <c r="AA5" s="75">
        <v>5522</v>
      </c>
      <c r="AB5" s="75">
        <v>5523</v>
      </c>
      <c r="AC5" s="75">
        <v>5524</v>
      </c>
      <c r="AD5" s="75">
        <v>5525</v>
      </c>
      <c r="AE5" s="75">
        <v>5539</v>
      </c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</row>
    <row r="6" spans="1:257" x14ac:dyDescent="0.25">
      <c r="A6" s="63" t="s">
        <v>347</v>
      </c>
      <c r="B6" s="77" t="s">
        <v>44</v>
      </c>
      <c r="C6" s="73">
        <v>23</v>
      </c>
      <c r="D6" s="78">
        <f>SUM(F6,K6)</f>
        <v>59294</v>
      </c>
      <c r="E6" s="79"/>
      <c r="F6" s="79">
        <f>SUM(G6:J6)</f>
        <v>59294</v>
      </c>
      <c r="G6" s="79"/>
      <c r="H6" s="79">
        <v>59294</v>
      </c>
      <c r="I6" s="79"/>
      <c r="J6" s="79"/>
      <c r="K6" s="79">
        <f>L6</f>
        <v>0</v>
      </c>
      <c r="L6" s="79"/>
      <c r="M6" s="84">
        <f>SUM(N6,S6)</f>
        <v>59294</v>
      </c>
      <c r="N6" s="98">
        <f t="shared" ref="N6:N15" si="0">SUM(O6:R6)</f>
        <v>38113</v>
      </c>
      <c r="O6" s="312">
        <v>22000</v>
      </c>
      <c r="P6" s="312">
        <v>4000</v>
      </c>
      <c r="Q6" s="312">
        <v>2000</v>
      </c>
      <c r="R6" s="312">
        <v>10113</v>
      </c>
      <c r="S6" s="307">
        <f t="shared" ref="S6:S15" si="1">SUM(T6:AE6)</f>
        <v>21181</v>
      </c>
      <c r="T6" s="312">
        <v>4000</v>
      </c>
      <c r="U6" s="312">
        <v>200</v>
      </c>
      <c r="V6" s="312">
        <v>3600</v>
      </c>
      <c r="W6" s="312">
        <v>4400</v>
      </c>
      <c r="X6" s="312">
        <v>100</v>
      </c>
      <c r="Y6" s="312">
        <v>100</v>
      </c>
      <c r="Z6" s="312">
        <v>150</v>
      </c>
      <c r="AA6" s="312">
        <v>100</v>
      </c>
      <c r="AB6" s="312">
        <v>6031</v>
      </c>
      <c r="AC6" s="307">
        <v>0</v>
      </c>
      <c r="AD6" s="307">
        <v>2500</v>
      </c>
      <c r="AE6" s="307">
        <v>0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</row>
    <row r="7" spans="1:257" x14ac:dyDescent="0.25">
      <c r="A7" s="63" t="s">
        <v>244</v>
      </c>
      <c r="B7" s="77" t="s">
        <v>45</v>
      </c>
      <c r="C7" s="73">
        <v>23</v>
      </c>
      <c r="D7" s="78">
        <f t="shared" ref="D7:D15" si="2">SUM(F7,K7)</f>
        <v>88624</v>
      </c>
      <c r="E7" s="79"/>
      <c r="F7" s="79">
        <f t="shared" ref="F7:F15" si="3">SUM(G7:J7)</f>
        <v>88624</v>
      </c>
      <c r="G7" s="79"/>
      <c r="H7" s="79">
        <v>87177</v>
      </c>
      <c r="I7" s="79"/>
      <c r="J7" s="79">
        <v>1447</v>
      </c>
      <c r="K7" s="79">
        <f t="shared" ref="K7:K15" si="4">L7</f>
        <v>0</v>
      </c>
      <c r="L7" s="79"/>
      <c r="M7" s="84">
        <f>SUM(N7,S7)</f>
        <v>88624</v>
      </c>
      <c r="N7" s="98">
        <f t="shared" si="0"/>
        <v>5620</v>
      </c>
      <c r="O7" s="307">
        <v>3200</v>
      </c>
      <c r="P7" s="307">
        <v>1000</v>
      </c>
      <c r="Q7" s="307">
        <v>0</v>
      </c>
      <c r="R7" s="307">
        <v>1420</v>
      </c>
      <c r="S7" s="307">
        <f t="shared" si="1"/>
        <v>83004</v>
      </c>
      <c r="T7" s="312">
        <v>1000</v>
      </c>
      <c r="U7" s="312">
        <v>820</v>
      </c>
      <c r="V7" s="312">
        <v>800</v>
      </c>
      <c r="W7" s="312">
        <v>2805</v>
      </c>
      <c r="X7" s="307">
        <v>0</v>
      </c>
      <c r="Y7" s="312">
        <v>500</v>
      </c>
      <c r="Z7" s="312">
        <v>500</v>
      </c>
      <c r="AA7" s="307">
        <v>0</v>
      </c>
      <c r="AB7" s="307">
        <v>0</v>
      </c>
      <c r="AC7" s="307">
        <v>0</v>
      </c>
      <c r="AD7" s="307">
        <v>76579</v>
      </c>
      <c r="AE7" s="307">
        <v>0</v>
      </c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</row>
    <row r="8" spans="1:257" x14ac:dyDescent="0.25">
      <c r="A8" s="233" t="s">
        <v>472</v>
      </c>
      <c r="B8" s="81" t="s">
        <v>174</v>
      </c>
      <c r="C8" s="81">
        <v>23</v>
      </c>
      <c r="D8" s="78">
        <f t="shared" si="2"/>
        <v>59005</v>
      </c>
      <c r="E8" s="260"/>
      <c r="F8" s="79">
        <f t="shared" si="3"/>
        <v>59005</v>
      </c>
      <c r="G8" s="260">
        <v>43270</v>
      </c>
      <c r="H8" s="260"/>
      <c r="I8" s="260"/>
      <c r="J8" s="260">
        <v>15735</v>
      </c>
      <c r="K8" s="79">
        <f t="shared" si="4"/>
        <v>0</v>
      </c>
      <c r="L8" s="260"/>
      <c r="M8" s="84">
        <f t="shared" ref="M8:M15" si="5">SUM(,N8,S8)</f>
        <v>59005</v>
      </c>
      <c r="N8" s="98">
        <f t="shared" si="0"/>
        <v>0</v>
      </c>
      <c r="O8" s="307">
        <v>0</v>
      </c>
      <c r="P8" s="307">
        <v>0</v>
      </c>
      <c r="Q8" s="307">
        <v>0</v>
      </c>
      <c r="R8" s="307">
        <v>0</v>
      </c>
      <c r="S8" s="307">
        <f t="shared" si="1"/>
        <v>59005</v>
      </c>
      <c r="T8" s="312">
        <v>2114</v>
      </c>
      <c r="U8" s="312">
        <v>4631</v>
      </c>
      <c r="V8" s="312">
        <v>3050</v>
      </c>
      <c r="W8" s="312">
        <v>34426</v>
      </c>
      <c r="X8" s="312">
        <v>1000</v>
      </c>
      <c r="Y8" s="312">
        <v>7140</v>
      </c>
      <c r="Z8" s="312">
        <v>2294</v>
      </c>
      <c r="AA8" s="312">
        <v>150</v>
      </c>
      <c r="AB8" s="307"/>
      <c r="AC8" s="307"/>
      <c r="AD8" s="307">
        <v>4200</v>
      </c>
      <c r="AE8" s="307"/>
    </row>
    <row r="9" spans="1:257" ht="29.25" x14ac:dyDescent="0.25">
      <c r="A9" s="80" t="s">
        <v>51</v>
      </c>
      <c r="B9" s="81" t="s">
        <v>174</v>
      </c>
      <c r="C9" s="81">
        <v>23</v>
      </c>
      <c r="D9" s="78">
        <f t="shared" si="2"/>
        <v>149890</v>
      </c>
      <c r="E9" s="83">
        <f>SUM(E10:E12)</f>
        <v>0</v>
      </c>
      <c r="F9" s="78">
        <f t="shared" si="3"/>
        <v>149890</v>
      </c>
      <c r="G9" s="82">
        <f>SUM(G10:G12)</f>
        <v>149890</v>
      </c>
      <c r="H9" s="82">
        <f>SUM(H10:H12)</f>
        <v>0</v>
      </c>
      <c r="I9" s="82">
        <f>SUM(I10:I12)</f>
        <v>0</v>
      </c>
      <c r="J9" s="82">
        <f>SUM(J10:J12)</f>
        <v>0</v>
      </c>
      <c r="K9" s="78">
        <f t="shared" si="4"/>
        <v>0</v>
      </c>
      <c r="L9" s="82">
        <f>SUM(L10:L12)</f>
        <v>0</v>
      </c>
      <c r="M9" s="84">
        <f t="shared" si="5"/>
        <v>149890</v>
      </c>
      <c r="N9" s="99">
        <f t="shared" si="0"/>
        <v>137342</v>
      </c>
      <c r="O9" s="84">
        <f>SUM(O10:O12)</f>
        <v>102047</v>
      </c>
      <c r="P9" s="84">
        <f>SUM(P10:P12)</f>
        <v>600</v>
      </c>
      <c r="Q9" s="84">
        <f>SUM(Q10:Q12)</f>
        <v>0</v>
      </c>
      <c r="R9" s="84">
        <f>SUM(R10:R12)</f>
        <v>34695</v>
      </c>
      <c r="S9" s="84">
        <f t="shared" si="1"/>
        <v>12548</v>
      </c>
      <c r="T9" s="84">
        <f t="shared" ref="T9:AE9" si="6">SUM(T10:T12)</f>
        <v>0</v>
      </c>
      <c r="U9" s="84">
        <f t="shared" si="6"/>
        <v>500</v>
      </c>
      <c r="V9" s="84">
        <f t="shared" si="6"/>
        <v>194</v>
      </c>
      <c r="W9" s="84">
        <f t="shared" si="6"/>
        <v>0</v>
      </c>
      <c r="X9" s="84">
        <f t="shared" si="6"/>
        <v>0</v>
      </c>
      <c r="Y9" s="84">
        <f t="shared" si="6"/>
        <v>430</v>
      </c>
      <c r="Z9" s="84">
        <f t="shared" si="6"/>
        <v>8724</v>
      </c>
      <c r="AA9" s="84">
        <f t="shared" si="6"/>
        <v>0</v>
      </c>
      <c r="AB9" s="84">
        <f t="shared" si="6"/>
        <v>0</v>
      </c>
      <c r="AC9" s="84">
        <f t="shared" si="6"/>
        <v>1000</v>
      </c>
      <c r="AD9" s="84">
        <f t="shared" si="6"/>
        <v>1700</v>
      </c>
      <c r="AE9" s="84">
        <f t="shared" si="6"/>
        <v>0</v>
      </c>
    </row>
    <row r="10" spans="1:257" x14ac:dyDescent="0.25">
      <c r="A10" s="233" t="s">
        <v>213</v>
      </c>
      <c r="B10" s="81"/>
      <c r="C10" s="81"/>
      <c r="D10" s="78">
        <f t="shared" si="2"/>
        <v>93850</v>
      </c>
      <c r="E10" s="83"/>
      <c r="F10" s="79">
        <f t="shared" si="3"/>
        <v>93850</v>
      </c>
      <c r="G10" s="83">
        <v>93850</v>
      </c>
      <c r="H10" s="311"/>
      <c r="I10" s="311"/>
      <c r="J10" s="311"/>
      <c r="K10" s="79">
        <f t="shared" si="4"/>
        <v>0</v>
      </c>
      <c r="L10" s="311"/>
      <c r="M10" s="84">
        <f t="shared" si="5"/>
        <v>93850</v>
      </c>
      <c r="N10" s="98">
        <f t="shared" si="0"/>
        <v>84026</v>
      </c>
      <c r="O10" s="308">
        <v>62200</v>
      </c>
      <c r="P10" s="308">
        <v>600</v>
      </c>
      <c r="Q10" s="307">
        <v>0</v>
      </c>
      <c r="R10" s="307">
        <v>21226</v>
      </c>
      <c r="S10" s="307">
        <f t="shared" si="1"/>
        <v>9824</v>
      </c>
      <c r="T10" s="307">
        <v>0</v>
      </c>
      <c r="U10" s="307">
        <v>500</v>
      </c>
      <c r="V10" s="307"/>
      <c r="W10" s="307">
        <v>0</v>
      </c>
      <c r="X10" s="307">
        <v>0</v>
      </c>
      <c r="Y10" s="307">
        <v>0</v>
      </c>
      <c r="Z10" s="307">
        <v>7824</v>
      </c>
      <c r="AA10" s="307">
        <v>0</v>
      </c>
      <c r="AB10" s="307">
        <v>0</v>
      </c>
      <c r="AC10" s="307">
        <v>500</v>
      </c>
      <c r="AD10" s="307">
        <v>1000</v>
      </c>
      <c r="AE10" s="307">
        <v>0</v>
      </c>
    </row>
    <row r="11" spans="1:257" x14ac:dyDescent="0.25">
      <c r="A11" s="233" t="s">
        <v>214</v>
      </c>
      <c r="B11" s="81"/>
      <c r="C11" s="81"/>
      <c r="D11" s="78">
        <f t="shared" si="2"/>
        <v>26850</v>
      </c>
      <c r="E11" s="83"/>
      <c r="F11" s="79">
        <f t="shared" si="3"/>
        <v>26850</v>
      </c>
      <c r="G11" s="83">
        <v>26850</v>
      </c>
      <c r="H11" s="311"/>
      <c r="I11" s="311"/>
      <c r="J11" s="311"/>
      <c r="K11" s="79">
        <f t="shared" si="4"/>
        <v>0</v>
      </c>
      <c r="L11" s="311"/>
      <c r="M11" s="84">
        <f t="shared" si="5"/>
        <v>26850</v>
      </c>
      <c r="N11" s="98">
        <f t="shared" si="0"/>
        <v>25556</v>
      </c>
      <c r="O11" s="307">
        <v>19100</v>
      </c>
      <c r="P11" s="307">
        <v>0</v>
      </c>
      <c r="Q11" s="307">
        <v>0</v>
      </c>
      <c r="R11" s="307">
        <v>6456</v>
      </c>
      <c r="S11" s="307">
        <f t="shared" si="1"/>
        <v>1294</v>
      </c>
      <c r="T11" s="307">
        <v>0</v>
      </c>
      <c r="U11" s="307">
        <v>0</v>
      </c>
      <c r="V11" s="307">
        <v>194</v>
      </c>
      <c r="W11" s="307">
        <v>0</v>
      </c>
      <c r="X11" s="307">
        <v>0</v>
      </c>
      <c r="Y11" s="307">
        <v>0</v>
      </c>
      <c r="Z11" s="307">
        <v>600</v>
      </c>
      <c r="AA11" s="307">
        <v>0</v>
      </c>
      <c r="AB11" s="307">
        <v>0</v>
      </c>
      <c r="AC11" s="307">
        <v>0</v>
      </c>
      <c r="AD11" s="307">
        <v>500</v>
      </c>
      <c r="AE11" s="307">
        <v>0</v>
      </c>
    </row>
    <row r="12" spans="1:257" x14ac:dyDescent="0.25">
      <c r="A12" s="233" t="s">
        <v>348</v>
      </c>
      <c r="B12" s="81"/>
      <c r="C12" s="81"/>
      <c r="D12" s="78">
        <f t="shared" si="2"/>
        <v>29190</v>
      </c>
      <c r="E12" s="83"/>
      <c r="F12" s="79">
        <f t="shared" si="3"/>
        <v>29190</v>
      </c>
      <c r="G12" s="83">
        <v>29190</v>
      </c>
      <c r="H12" s="311"/>
      <c r="I12" s="311"/>
      <c r="J12" s="311"/>
      <c r="K12" s="79">
        <f t="shared" si="4"/>
        <v>0</v>
      </c>
      <c r="L12" s="311"/>
      <c r="M12" s="84">
        <f t="shared" si="5"/>
        <v>29190</v>
      </c>
      <c r="N12" s="98">
        <f t="shared" si="0"/>
        <v>27760</v>
      </c>
      <c r="O12" s="307">
        <v>20747</v>
      </c>
      <c r="P12" s="307">
        <v>0</v>
      </c>
      <c r="Q12" s="307">
        <v>0</v>
      </c>
      <c r="R12" s="307">
        <v>7013</v>
      </c>
      <c r="S12" s="307">
        <f t="shared" si="1"/>
        <v>1430</v>
      </c>
      <c r="T12" s="307">
        <v>0</v>
      </c>
      <c r="U12" s="307">
        <v>0</v>
      </c>
      <c r="V12" s="307">
        <v>0</v>
      </c>
      <c r="W12" s="307">
        <v>0</v>
      </c>
      <c r="X12" s="307">
        <v>0</v>
      </c>
      <c r="Y12" s="307">
        <v>430</v>
      </c>
      <c r="Z12" s="307">
        <v>300</v>
      </c>
      <c r="AA12" s="307">
        <v>0</v>
      </c>
      <c r="AB12" s="307">
        <v>0</v>
      </c>
      <c r="AC12" s="307">
        <v>500</v>
      </c>
      <c r="AD12" s="307">
        <v>200</v>
      </c>
      <c r="AE12" s="307">
        <v>0</v>
      </c>
    </row>
    <row r="13" spans="1:257" x14ac:dyDescent="0.25">
      <c r="A13" s="262" t="s">
        <v>47</v>
      </c>
      <c r="B13" s="81" t="s">
        <v>46</v>
      </c>
      <c r="C13" s="81">
        <v>23</v>
      </c>
      <c r="D13" s="78">
        <f t="shared" si="2"/>
        <v>184000</v>
      </c>
      <c r="E13" s="260">
        <f>SUM(E14:E15)</f>
        <v>0</v>
      </c>
      <c r="F13" s="78">
        <f t="shared" si="3"/>
        <v>181000</v>
      </c>
      <c r="G13" s="259">
        <f>SUM(G14:G15)</f>
        <v>0</v>
      </c>
      <c r="H13" s="259">
        <f>SUM(H14:H15)</f>
        <v>181000</v>
      </c>
      <c r="I13" s="259">
        <f>SUM(I14:I15)</f>
        <v>0</v>
      </c>
      <c r="J13" s="259">
        <f>SUM(J14:J15)</f>
        <v>0</v>
      </c>
      <c r="K13" s="78">
        <f t="shared" si="4"/>
        <v>3000</v>
      </c>
      <c r="L13" s="259">
        <f>SUM(L14:L15)</f>
        <v>3000</v>
      </c>
      <c r="M13" s="261">
        <f t="shared" si="5"/>
        <v>184000</v>
      </c>
      <c r="N13" s="99">
        <f t="shared" si="0"/>
        <v>50965</v>
      </c>
      <c r="O13" s="84">
        <f>SUM(O14:O15)</f>
        <v>29720</v>
      </c>
      <c r="P13" s="84">
        <f>SUM(P14:P15)</f>
        <v>7750</v>
      </c>
      <c r="Q13" s="84">
        <f>SUM(Q14:Q15)</f>
        <v>500</v>
      </c>
      <c r="R13" s="84">
        <f>SUM(R14:R15)</f>
        <v>12995</v>
      </c>
      <c r="S13" s="84">
        <f t="shared" si="1"/>
        <v>133035</v>
      </c>
      <c r="T13" s="84">
        <f t="shared" ref="T13:AE13" si="7">SUM(T14:T15)</f>
        <v>11030</v>
      </c>
      <c r="U13" s="84">
        <f t="shared" si="7"/>
        <v>5560</v>
      </c>
      <c r="V13" s="84">
        <f t="shared" si="7"/>
        <v>4000</v>
      </c>
      <c r="W13" s="84">
        <f t="shared" si="7"/>
        <v>66945</v>
      </c>
      <c r="X13" s="84">
        <f t="shared" si="7"/>
        <v>1408</v>
      </c>
      <c r="Y13" s="84">
        <f t="shared" si="7"/>
        <v>3356</v>
      </c>
      <c r="Z13" s="84">
        <f t="shared" si="7"/>
        <v>6853</v>
      </c>
      <c r="AA13" s="84">
        <f t="shared" si="7"/>
        <v>0</v>
      </c>
      <c r="AB13" s="84">
        <f t="shared" si="7"/>
        <v>500</v>
      </c>
      <c r="AC13" s="84">
        <f t="shared" si="7"/>
        <v>1000</v>
      </c>
      <c r="AD13" s="84">
        <f t="shared" si="7"/>
        <v>32383</v>
      </c>
      <c r="AE13" s="84">
        <f t="shared" si="7"/>
        <v>0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</row>
    <row r="14" spans="1:257" x14ac:dyDescent="0.25">
      <c r="A14" s="233" t="s">
        <v>245</v>
      </c>
      <c r="B14" s="81"/>
      <c r="C14" s="81"/>
      <c r="D14" s="78">
        <f t="shared" si="2"/>
        <v>39000</v>
      </c>
      <c r="E14" s="260"/>
      <c r="F14" s="79">
        <f t="shared" si="3"/>
        <v>37000</v>
      </c>
      <c r="G14" s="310"/>
      <c r="H14" s="260">
        <v>37000</v>
      </c>
      <c r="I14" s="310"/>
      <c r="J14" s="310"/>
      <c r="K14" s="79">
        <f t="shared" si="4"/>
        <v>2000</v>
      </c>
      <c r="L14" s="260">
        <v>2000</v>
      </c>
      <c r="M14" s="261">
        <f t="shared" si="5"/>
        <v>39000</v>
      </c>
      <c r="N14" s="98">
        <f t="shared" si="0"/>
        <v>12443</v>
      </c>
      <c r="O14" s="308">
        <v>4300</v>
      </c>
      <c r="P14" s="308">
        <v>5000</v>
      </c>
      <c r="Q14" s="307">
        <v>0</v>
      </c>
      <c r="R14" s="309">
        <v>3143</v>
      </c>
      <c r="S14" s="309">
        <f t="shared" si="1"/>
        <v>26557</v>
      </c>
      <c r="T14" s="308">
        <v>7330</v>
      </c>
      <c r="U14" s="308">
        <v>2400</v>
      </c>
      <c r="V14" s="308">
        <v>2000</v>
      </c>
      <c r="W14" s="308">
        <v>2327</v>
      </c>
      <c r="X14" s="307">
        <v>0</v>
      </c>
      <c r="Y14" s="307">
        <v>0</v>
      </c>
      <c r="Z14" s="307">
        <v>1000</v>
      </c>
      <c r="AA14" s="307">
        <v>0</v>
      </c>
      <c r="AB14" s="307">
        <v>0</v>
      </c>
      <c r="AC14" s="307">
        <v>0</v>
      </c>
      <c r="AD14" s="309">
        <v>11500</v>
      </c>
      <c r="AE14" s="307">
        <v>0</v>
      </c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</row>
    <row r="15" spans="1:257" x14ac:dyDescent="0.25">
      <c r="A15" s="233" t="s">
        <v>247</v>
      </c>
      <c r="B15" s="81"/>
      <c r="C15" s="81"/>
      <c r="D15" s="78">
        <f t="shared" si="2"/>
        <v>145000</v>
      </c>
      <c r="E15" s="260"/>
      <c r="F15" s="79">
        <f t="shared" si="3"/>
        <v>144000</v>
      </c>
      <c r="G15" s="310"/>
      <c r="H15" s="260">
        <v>144000</v>
      </c>
      <c r="I15" s="310"/>
      <c r="J15" s="310"/>
      <c r="K15" s="79">
        <f t="shared" si="4"/>
        <v>1000</v>
      </c>
      <c r="L15" s="260">
        <v>1000</v>
      </c>
      <c r="M15" s="261">
        <f t="shared" si="5"/>
        <v>145000</v>
      </c>
      <c r="N15" s="98">
        <f t="shared" si="0"/>
        <v>38522</v>
      </c>
      <c r="O15" s="308">
        <v>25420</v>
      </c>
      <c r="P15" s="308">
        <v>2750</v>
      </c>
      <c r="Q15" s="308">
        <v>500</v>
      </c>
      <c r="R15" s="308">
        <v>9852</v>
      </c>
      <c r="S15" s="309">
        <f t="shared" si="1"/>
        <v>106478</v>
      </c>
      <c r="T15" s="308">
        <v>3700</v>
      </c>
      <c r="U15" s="308">
        <v>3160</v>
      </c>
      <c r="V15" s="308">
        <v>2000</v>
      </c>
      <c r="W15" s="308">
        <v>64618</v>
      </c>
      <c r="X15" s="308">
        <v>1408</v>
      </c>
      <c r="Y15" s="308">
        <v>3356</v>
      </c>
      <c r="Z15" s="308">
        <v>5853</v>
      </c>
      <c r="AA15" s="308">
        <v>0</v>
      </c>
      <c r="AB15" s="308">
        <v>500</v>
      </c>
      <c r="AC15" s="308">
        <v>1000</v>
      </c>
      <c r="AD15" s="308">
        <v>20883</v>
      </c>
      <c r="AE15" s="307">
        <v>0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</row>
    <row r="16" spans="1:257" x14ac:dyDescent="0.25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9"/>
      <c r="O16" s="89"/>
      <c r="P16" s="89"/>
      <c r="Q16" s="89"/>
      <c r="R16" s="89"/>
      <c r="S16" s="8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x14ac:dyDescent="0.2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x14ac:dyDescent="0.25">
      <c r="A18" s="94"/>
    </row>
    <row r="19" spans="1:31" x14ac:dyDescent="0.25">
      <c r="A19" s="95"/>
      <c r="O19" s="6"/>
    </row>
    <row r="20" spans="1:31" x14ac:dyDescent="0.25">
      <c r="A20" s="95"/>
      <c r="M20" s="96"/>
      <c r="N20" s="97"/>
      <c r="O20" s="6"/>
    </row>
    <row r="21" spans="1:31" x14ac:dyDescent="0.25">
      <c r="A21" s="94"/>
      <c r="M21" s="96"/>
      <c r="N21" s="97"/>
      <c r="O21" s="6"/>
    </row>
    <row r="22" spans="1:31" x14ac:dyDescent="0.25">
      <c r="O22" s="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="85" zoomScaleNormal="85" workbookViewId="0">
      <selection activeCell="A10" sqref="A10"/>
    </sheetView>
  </sheetViews>
  <sheetFormatPr defaultRowHeight="12.75" x14ac:dyDescent="0.2"/>
  <cols>
    <col min="1" max="1" width="27.42578125" style="101" customWidth="1"/>
    <col min="2" max="3" width="8.28515625" style="101" bestFit="1" customWidth="1"/>
    <col min="4" max="4" width="11.28515625" style="101" bestFit="1" customWidth="1"/>
    <col min="5" max="5" width="8.42578125" style="101" bestFit="1" customWidth="1"/>
    <col min="6" max="6" width="11.28515625" style="102" bestFit="1" customWidth="1"/>
    <col min="7" max="7" width="10.140625" style="102" bestFit="1" customWidth="1"/>
    <col min="8" max="8" width="9.5703125" style="102" hidden="1" customWidth="1"/>
    <col min="9" max="10" width="7.42578125" style="102" bestFit="1" customWidth="1"/>
    <col min="11" max="11" width="10.7109375" style="101" bestFit="1" customWidth="1"/>
    <col min="12" max="16384" width="9.140625" style="101"/>
  </cols>
  <sheetData>
    <row r="1" spans="1:10" ht="15.75" x14ac:dyDescent="0.25">
      <c r="A1" s="100" t="s">
        <v>441</v>
      </c>
    </row>
    <row r="2" spans="1:10" ht="15.75" x14ac:dyDescent="0.25">
      <c r="A2" s="100" t="s">
        <v>349</v>
      </c>
    </row>
    <row r="3" spans="1:10" ht="13.5" thickBot="1" x14ac:dyDescent="0.25"/>
    <row r="4" spans="1:10" s="102" customFormat="1" ht="77.25" customHeight="1" thickBot="1" x14ac:dyDescent="0.25">
      <c r="A4" s="396" t="s">
        <v>350</v>
      </c>
      <c r="B4" s="398" t="s">
        <v>210</v>
      </c>
      <c r="C4" s="400" t="s">
        <v>351</v>
      </c>
      <c r="D4" s="402" t="s">
        <v>207</v>
      </c>
      <c r="E4" s="103" t="s">
        <v>352</v>
      </c>
      <c r="F4" s="104" t="s">
        <v>353</v>
      </c>
      <c r="G4" s="105" t="s">
        <v>212</v>
      </c>
      <c r="H4" s="105" t="s">
        <v>412</v>
      </c>
    </row>
    <row r="5" spans="1:10" s="102" customFormat="1" ht="15.75" thickBot="1" x14ac:dyDescent="0.3">
      <c r="A5" s="397"/>
      <c r="B5" s="399"/>
      <c r="C5" s="401"/>
      <c r="D5" s="403"/>
      <c r="E5" s="107">
        <v>4</v>
      </c>
      <c r="F5" s="108">
        <v>50</v>
      </c>
      <c r="G5" s="109">
        <v>55</v>
      </c>
      <c r="H5" s="109">
        <v>601</v>
      </c>
    </row>
    <row r="6" spans="1:10" s="102" customFormat="1" ht="15.75" thickBot="1" x14ac:dyDescent="0.25">
      <c r="A6" s="242" t="s">
        <v>207</v>
      </c>
      <c r="B6" s="106"/>
      <c r="C6" s="239"/>
      <c r="D6" s="240">
        <f t="shared" ref="D6:F6" si="0">D7+D56+D60+D62+D67+D73+D75+D79</f>
        <v>39919830</v>
      </c>
      <c r="E6" s="240">
        <f>E7+E56+E60+E62+E67+E73+E75+E79</f>
        <v>626698</v>
      </c>
      <c r="F6" s="240">
        <f t="shared" si="0"/>
        <v>31180354</v>
      </c>
      <c r="G6" s="240">
        <f>G7+G56+G60+G62+G67+G73+G75+G79</f>
        <v>8112778</v>
      </c>
      <c r="H6" s="241" t="e">
        <f>H7+H56+#REF!+#REF!+H60+H62+H67+H73+H75+H79</f>
        <v>#REF!</v>
      </c>
    </row>
    <row r="7" spans="1:10" s="102" customFormat="1" ht="15" thickBot="1" x14ac:dyDescent="0.25">
      <c r="A7" s="110" t="s">
        <v>500</v>
      </c>
      <c r="B7" s="111"/>
      <c r="C7" s="112"/>
      <c r="D7" s="113">
        <f>SUM(D8:D55)</f>
        <v>31219144</v>
      </c>
      <c r="E7" s="113">
        <f t="shared" ref="E7:G7" si="1">SUM(E8:E55)</f>
        <v>0</v>
      </c>
      <c r="F7" s="113">
        <f t="shared" si="1"/>
        <v>25786174</v>
      </c>
      <c r="G7" s="113">
        <f t="shared" si="1"/>
        <v>5432970</v>
      </c>
      <c r="H7" s="119">
        <f t="shared" ref="H7" si="2">SUM(H8:H55)</f>
        <v>0</v>
      </c>
    </row>
    <row r="8" spans="1:10" ht="15" x14ac:dyDescent="0.25">
      <c r="A8" s="120" t="s">
        <v>268</v>
      </c>
      <c r="B8" s="217" t="s">
        <v>32</v>
      </c>
      <c r="C8" s="122" t="s">
        <v>369</v>
      </c>
      <c r="D8" s="123">
        <f t="shared" ref="D8:D15" si="3">E8+F8+G8+H8</f>
        <v>328817</v>
      </c>
      <c r="E8" s="146"/>
      <c r="F8" s="135">
        <v>242760</v>
      </c>
      <c r="G8" s="125">
        <v>86057</v>
      </c>
      <c r="H8" s="125"/>
      <c r="I8" s="101"/>
      <c r="J8" s="101"/>
    </row>
    <row r="9" spans="1:10" ht="15" x14ac:dyDescent="0.25">
      <c r="A9" s="126" t="s">
        <v>268</v>
      </c>
      <c r="B9" s="218" t="s">
        <v>32</v>
      </c>
      <c r="C9" s="127" t="s">
        <v>402</v>
      </c>
      <c r="D9" s="123">
        <f t="shared" si="3"/>
        <v>227380</v>
      </c>
      <c r="E9" s="146"/>
      <c r="F9" s="135">
        <v>227380</v>
      </c>
      <c r="G9" s="125"/>
      <c r="H9" s="125"/>
      <c r="I9" s="101"/>
      <c r="J9" s="101"/>
    </row>
    <row r="10" spans="1:10" ht="15" x14ac:dyDescent="0.25">
      <c r="A10" s="126" t="s">
        <v>268</v>
      </c>
      <c r="B10" s="218" t="s">
        <v>32</v>
      </c>
      <c r="C10" s="127" t="s">
        <v>370</v>
      </c>
      <c r="D10" s="123">
        <f t="shared" si="3"/>
        <v>19075927</v>
      </c>
      <c r="E10" s="146"/>
      <c r="F10" s="135">
        <v>18060132</v>
      </c>
      <c r="G10" s="125">
        <v>1015795</v>
      </c>
      <c r="H10" s="125"/>
      <c r="I10" s="101"/>
      <c r="J10" s="101"/>
    </row>
    <row r="11" spans="1:10" ht="15" x14ac:dyDescent="0.25">
      <c r="A11" s="126" t="s">
        <v>268</v>
      </c>
      <c r="B11" s="218" t="s">
        <v>32</v>
      </c>
      <c r="C11" s="127"/>
      <c r="D11" s="123">
        <f t="shared" si="3"/>
        <v>1649583</v>
      </c>
      <c r="E11" s="146"/>
      <c r="F11" s="135">
        <v>541913</v>
      </c>
      <c r="G11" s="125">
        <v>1107670</v>
      </c>
      <c r="H11" s="125"/>
      <c r="I11" s="101"/>
      <c r="J11" s="101"/>
    </row>
    <row r="12" spans="1:10" ht="15" x14ac:dyDescent="0.25">
      <c r="A12" s="126" t="s">
        <v>401</v>
      </c>
      <c r="B12" s="218" t="s">
        <v>32</v>
      </c>
      <c r="C12" s="127"/>
      <c r="D12" s="123">
        <f t="shared" si="3"/>
        <v>235226</v>
      </c>
      <c r="E12" s="146"/>
      <c r="F12" s="135">
        <v>87501</v>
      </c>
      <c r="G12" s="125">
        <v>147725</v>
      </c>
      <c r="H12" s="125"/>
      <c r="I12" s="101"/>
      <c r="J12" s="101"/>
    </row>
    <row r="13" spans="1:10" ht="15" x14ac:dyDescent="0.25">
      <c r="A13" s="126" t="s">
        <v>401</v>
      </c>
      <c r="B13" s="353" t="s">
        <v>32</v>
      </c>
      <c r="C13" s="127" t="s">
        <v>370</v>
      </c>
      <c r="D13" s="123">
        <f t="shared" si="3"/>
        <v>60210</v>
      </c>
      <c r="E13" s="146"/>
      <c r="F13" s="135">
        <v>60210</v>
      </c>
      <c r="G13" s="125"/>
      <c r="H13" s="125"/>
      <c r="I13" s="101"/>
      <c r="J13" s="101"/>
    </row>
    <row r="14" spans="1:10" ht="15" x14ac:dyDescent="0.25">
      <c r="A14" s="126" t="s">
        <v>531</v>
      </c>
      <c r="B14" s="353" t="s">
        <v>32</v>
      </c>
      <c r="C14" s="127"/>
      <c r="D14" s="123">
        <f t="shared" si="3"/>
        <v>358598</v>
      </c>
      <c r="E14" s="146"/>
      <c r="F14" s="135">
        <v>250153</v>
      </c>
      <c r="G14" s="125">
        <v>108445</v>
      </c>
      <c r="H14" s="125"/>
      <c r="I14" s="101"/>
      <c r="J14" s="101"/>
    </row>
    <row r="15" spans="1:10" ht="15" x14ac:dyDescent="0.25">
      <c r="A15" s="126" t="s">
        <v>531</v>
      </c>
      <c r="B15" s="218" t="s">
        <v>32</v>
      </c>
      <c r="C15" s="127" t="s">
        <v>370</v>
      </c>
      <c r="D15" s="123">
        <f t="shared" si="3"/>
        <v>72935</v>
      </c>
      <c r="E15" s="146"/>
      <c r="F15" s="135">
        <v>72935</v>
      </c>
      <c r="G15" s="125"/>
      <c r="H15" s="125"/>
      <c r="I15" s="101"/>
      <c r="J15" s="101"/>
    </row>
    <row r="16" spans="1:10" ht="15" x14ac:dyDescent="0.25">
      <c r="A16" s="126" t="s">
        <v>544</v>
      </c>
      <c r="B16" s="218" t="s">
        <v>32</v>
      </c>
      <c r="C16" s="127"/>
      <c r="D16" s="123">
        <f t="shared" ref="D16:D17" si="4">E16+F16+G16+H16</f>
        <v>439422</v>
      </c>
      <c r="E16" s="146"/>
      <c r="F16" s="135">
        <v>335409</v>
      </c>
      <c r="G16" s="125">
        <v>104013</v>
      </c>
      <c r="H16" s="125"/>
      <c r="I16" s="101"/>
      <c r="J16" s="101"/>
    </row>
    <row r="17" spans="1:10" ht="15" x14ac:dyDescent="0.25">
      <c r="A17" s="126" t="s">
        <v>544</v>
      </c>
      <c r="B17" s="218" t="s">
        <v>32</v>
      </c>
      <c r="C17" s="127" t="s">
        <v>370</v>
      </c>
      <c r="D17" s="123">
        <f t="shared" si="4"/>
        <v>70245</v>
      </c>
      <c r="E17" s="146"/>
      <c r="F17" s="135">
        <v>70245</v>
      </c>
      <c r="G17" s="125"/>
      <c r="H17" s="125"/>
      <c r="I17" s="101"/>
      <c r="J17" s="101"/>
    </row>
    <row r="18" spans="1:10" ht="15" x14ac:dyDescent="0.25">
      <c r="A18" s="126" t="s">
        <v>532</v>
      </c>
      <c r="B18" s="218" t="s">
        <v>32</v>
      </c>
      <c r="C18" s="127"/>
      <c r="D18" s="123">
        <f t="shared" ref="D18:D23" si="5">E18+F18+G18+H18</f>
        <v>359378</v>
      </c>
      <c r="E18" s="146"/>
      <c r="F18" s="135">
        <v>213812</v>
      </c>
      <c r="G18" s="125">
        <v>145566</v>
      </c>
      <c r="H18" s="125"/>
      <c r="I18" s="101"/>
      <c r="J18" s="101"/>
    </row>
    <row r="19" spans="1:10" ht="15" x14ac:dyDescent="0.25">
      <c r="A19" s="126" t="s">
        <v>532</v>
      </c>
      <c r="B19" s="218" t="s">
        <v>32</v>
      </c>
      <c r="C19" s="127" t="s">
        <v>370</v>
      </c>
      <c r="D19" s="123">
        <f t="shared" si="5"/>
        <v>74259</v>
      </c>
      <c r="E19" s="146"/>
      <c r="F19" s="135">
        <v>74259</v>
      </c>
      <c r="G19" s="125"/>
      <c r="H19" s="125"/>
      <c r="I19" s="101"/>
      <c r="J19" s="101"/>
    </row>
    <row r="20" spans="1:10" ht="15" x14ac:dyDescent="0.25">
      <c r="A20" s="126" t="s">
        <v>533</v>
      </c>
      <c r="B20" s="218" t="s">
        <v>32</v>
      </c>
      <c r="C20" s="127"/>
      <c r="D20" s="123">
        <f t="shared" si="5"/>
        <v>285988</v>
      </c>
      <c r="E20" s="146"/>
      <c r="F20" s="135">
        <v>140843</v>
      </c>
      <c r="G20" s="125">
        <v>145145</v>
      </c>
      <c r="H20" s="125"/>
      <c r="I20" s="101"/>
      <c r="J20" s="101"/>
    </row>
    <row r="21" spans="1:10" ht="15" x14ac:dyDescent="0.25">
      <c r="A21" s="126" t="s">
        <v>533</v>
      </c>
      <c r="B21" s="353" t="s">
        <v>32</v>
      </c>
      <c r="C21" s="127" t="s">
        <v>370</v>
      </c>
      <c r="D21" s="123">
        <f t="shared" si="5"/>
        <v>76266</v>
      </c>
      <c r="E21" s="146"/>
      <c r="F21" s="135">
        <v>76266</v>
      </c>
      <c r="G21" s="125"/>
      <c r="H21" s="125"/>
      <c r="I21" s="101"/>
      <c r="J21" s="101"/>
    </row>
    <row r="22" spans="1:10" ht="15" x14ac:dyDescent="0.25">
      <c r="A22" s="126" t="s">
        <v>534</v>
      </c>
      <c r="B22" s="218" t="s">
        <v>32</v>
      </c>
      <c r="C22" s="127"/>
      <c r="D22" s="123">
        <f t="shared" si="5"/>
        <v>423908</v>
      </c>
      <c r="E22" s="146"/>
      <c r="F22" s="135">
        <v>293905</v>
      </c>
      <c r="G22" s="125">
        <v>130003</v>
      </c>
      <c r="H22" s="125"/>
      <c r="I22" s="101"/>
      <c r="J22" s="101"/>
    </row>
    <row r="23" spans="1:10" ht="15" x14ac:dyDescent="0.25">
      <c r="A23" s="126" t="s">
        <v>534</v>
      </c>
      <c r="B23" s="353" t="s">
        <v>32</v>
      </c>
      <c r="C23" s="127" t="s">
        <v>370</v>
      </c>
      <c r="D23" s="123">
        <f t="shared" si="5"/>
        <v>104364</v>
      </c>
      <c r="E23" s="146"/>
      <c r="F23" s="135">
        <v>104364</v>
      </c>
      <c r="G23" s="125"/>
      <c r="H23" s="125"/>
      <c r="I23" s="101"/>
      <c r="J23" s="101"/>
    </row>
    <row r="24" spans="1:10" ht="15" x14ac:dyDescent="0.25">
      <c r="A24" s="126" t="s">
        <v>545</v>
      </c>
      <c r="B24" s="353" t="s">
        <v>32</v>
      </c>
      <c r="C24" s="127"/>
      <c r="D24" s="123">
        <f t="shared" ref="D24:D30" si="6">E24+F24+G24+H24</f>
        <v>418508</v>
      </c>
      <c r="E24" s="146"/>
      <c r="F24" s="135">
        <v>237180</v>
      </c>
      <c r="G24" s="125">
        <v>181328</v>
      </c>
      <c r="H24" s="125"/>
      <c r="I24" s="101"/>
      <c r="J24" s="101"/>
    </row>
    <row r="25" spans="1:10" ht="15" x14ac:dyDescent="0.25">
      <c r="A25" s="126" t="s">
        <v>545</v>
      </c>
      <c r="B25" s="353" t="s">
        <v>32</v>
      </c>
      <c r="C25" s="127" t="s">
        <v>370</v>
      </c>
      <c r="D25" s="123">
        <f t="shared" si="6"/>
        <v>233533</v>
      </c>
      <c r="E25" s="146"/>
      <c r="F25" s="135">
        <v>233533</v>
      </c>
      <c r="G25" s="125"/>
      <c r="H25" s="125"/>
      <c r="I25" s="101"/>
      <c r="J25" s="101"/>
    </row>
    <row r="26" spans="1:10" ht="15" x14ac:dyDescent="0.25">
      <c r="A26" s="126" t="s">
        <v>371</v>
      </c>
      <c r="B26" s="353" t="s">
        <v>32</v>
      </c>
      <c r="C26" s="127"/>
      <c r="D26" s="123">
        <f t="shared" si="6"/>
        <v>342311</v>
      </c>
      <c r="E26" s="146"/>
      <c r="F26" s="135">
        <v>117431</v>
      </c>
      <c r="G26" s="125">
        <v>224880</v>
      </c>
      <c r="H26" s="125"/>
      <c r="I26" s="101"/>
      <c r="J26" s="101"/>
    </row>
    <row r="27" spans="1:10" ht="15" x14ac:dyDescent="0.25">
      <c r="A27" s="126" t="s">
        <v>371</v>
      </c>
      <c r="B27" s="353" t="s">
        <v>32</v>
      </c>
      <c r="C27" s="127" t="s">
        <v>370</v>
      </c>
      <c r="D27" s="123">
        <f t="shared" si="6"/>
        <v>44154</v>
      </c>
      <c r="E27" s="146"/>
      <c r="F27" s="135">
        <v>44154</v>
      </c>
      <c r="G27" s="125"/>
      <c r="H27" s="125"/>
      <c r="I27" s="101"/>
      <c r="J27" s="101"/>
    </row>
    <row r="28" spans="1:10" ht="15" x14ac:dyDescent="0.25">
      <c r="A28" s="126" t="s">
        <v>546</v>
      </c>
      <c r="B28" s="353" t="s">
        <v>32</v>
      </c>
      <c r="C28" s="127"/>
      <c r="D28" s="123">
        <f t="shared" si="6"/>
        <v>246189</v>
      </c>
      <c r="E28" s="146"/>
      <c r="F28" s="135">
        <v>154636</v>
      </c>
      <c r="G28" s="125">
        <v>91553</v>
      </c>
      <c r="H28" s="125"/>
      <c r="I28" s="101"/>
      <c r="J28" s="101"/>
    </row>
    <row r="29" spans="1:10" ht="15" x14ac:dyDescent="0.25">
      <c r="A29" s="126" t="s">
        <v>546</v>
      </c>
      <c r="B29" s="353" t="s">
        <v>32</v>
      </c>
      <c r="C29" s="127" t="s">
        <v>370</v>
      </c>
      <c r="D29" s="123">
        <f t="shared" si="6"/>
        <v>34119</v>
      </c>
      <c r="E29" s="146"/>
      <c r="F29" s="135">
        <v>34119</v>
      </c>
      <c r="G29" s="125"/>
      <c r="H29" s="125"/>
      <c r="I29" s="101"/>
      <c r="J29" s="101"/>
    </row>
    <row r="30" spans="1:10" ht="15" x14ac:dyDescent="0.25">
      <c r="A30" s="126" t="s">
        <v>535</v>
      </c>
      <c r="B30" s="353" t="s">
        <v>32</v>
      </c>
      <c r="C30" s="127"/>
      <c r="D30" s="123">
        <f t="shared" si="6"/>
        <v>556832</v>
      </c>
      <c r="E30" s="146"/>
      <c r="F30" s="135">
        <v>425725</v>
      </c>
      <c r="G30" s="125">
        <v>131107</v>
      </c>
      <c r="H30" s="125"/>
      <c r="I30" s="101"/>
      <c r="J30" s="101"/>
    </row>
    <row r="31" spans="1:10" ht="15" x14ac:dyDescent="0.25">
      <c r="A31" s="126" t="s">
        <v>535</v>
      </c>
      <c r="B31" s="353" t="s">
        <v>32</v>
      </c>
      <c r="C31" s="127" t="s">
        <v>370</v>
      </c>
      <c r="D31" s="123">
        <f>E31+F31+G31+H31</f>
        <v>80280</v>
      </c>
      <c r="E31" s="146"/>
      <c r="F31" s="135">
        <v>80280</v>
      </c>
      <c r="G31" s="125"/>
      <c r="H31" s="125"/>
      <c r="I31" s="101"/>
      <c r="J31" s="101"/>
    </row>
    <row r="32" spans="1:10" ht="15" x14ac:dyDescent="0.25">
      <c r="A32" s="126" t="s">
        <v>536</v>
      </c>
      <c r="B32" s="218" t="s">
        <v>32</v>
      </c>
      <c r="C32" s="127"/>
      <c r="D32" s="123">
        <f>E32+F32+G32+H32</f>
        <v>307294</v>
      </c>
      <c r="E32" s="146"/>
      <c r="F32" s="135">
        <v>209692</v>
      </c>
      <c r="G32" s="125">
        <v>97602</v>
      </c>
      <c r="H32" s="125"/>
      <c r="I32" s="101"/>
      <c r="J32" s="101"/>
    </row>
    <row r="33" spans="1:10" ht="15" x14ac:dyDescent="0.25">
      <c r="A33" s="126" t="s">
        <v>536</v>
      </c>
      <c r="B33" s="218" t="s">
        <v>32</v>
      </c>
      <c r="C33" s="127" t="s">
        <v>370</v>
      </c>
      <c r="D33" s="123">
        <f t="shared" ref="D33:D34" si="7">E33+F33+G33+H33</f>
        <v>70245</v>
      </c>
      <c r="E33" s="146"/>
      <c r="F33" s="135">
        <v>70245</v>
      </c>
      <c r="G33" s="125"/>
      <c r="H33" s="125"/>
      <c r="I33" s="101"/>
      <c r="J33" s="101"/>
    </row>
    <row r="34" spans="1:10" ht="15" x14ac:dyDescent="0.25">
      <c r="A34" s="126" t="s">
        <v>537</v>
      </c>
      <c r="B34" s="218" t="s">
        <v>32</v>
      </c>
      <c r="C34" s="127"/>
      <c r="D34" s="123">
        <f t="shared" si="7"/>
        <v>436215</v>
      </c>
      <c r="E34" s="146"/>
      <c r="F34" s="135">
        <v>314751</v>
      </c>
      <c r="G34" s="125">
        <v>121464</v>
      </c>
      <c r="H34" s="125"/>
      <c r="I34" s="101"/>
      <c r="J34" s="101"/>
    </row>
    <row r="35" spans="1:10" ht="15" x14ac:dyDescent="0.25">
      <c r="A35" s="126" t="s">
        <v>537</v>
      </c>
      <c r="B35" s="218" t="s">
        <v>32</v>
      </c>
      <c r="C35" s="127" t="s">
        <v>370</v>
      </c>
      <c r="D35" s="123">
        <f>E35+F35+G35+H35</f>
        <v>93125</v>
      </c>
      <c r="E35" s="146"/>
      <c r="F35" s="135">
        <v>93125</v>
      </c>
      <c r="G35" s="125"/>
      <c r="H35" s="125"/>
      <c r="I35" s="101"/>
      <c r="J35" s="101"/>
    </row>
    <row r="36" spans="1:10" ht="15" x14ac:dyDescent="0.25">
      <c r="A36" s="126" t="s">
        <v>372</v>
      </c>
      <c r="B36" s="218" t="s">
        <v>32</v>
      </c>
      <c r="C36" s="127"/>
      <c r="D36" s="123">
        <f t="shared" ref="D36:D38" si="8">E36+F36+G36+H36</f>
        <v>386448</v>
      </c>
      <c r="E36" s="146"/>
      <c r="F36" s="135">
        <v>159639</v>
      </c>
      <c r="G36" s="125">
        <v>226809</v>
      </c>
      <c r="H36" s="125"/>
      <c r="I36" s="101"/>
      <c r="J36" s="101"/>
    </row>
    <row r="37" spans="1:10" ht="15" x14ac:dyDescent="0.25">
      <c r="A37" s="126" t="s">
        <v>372</v>
      </c>
      <c r="B37" s="218" t="s">
        <v>32</v>
      </c>
      <c r="C37" s="127" t="s">
        <v>370</v>
      </c>
      <c r="D37" s="123">
        <f t="shared" si="8"/>
        <v>44154</v>
      </c>
      <c r="E37" s="146"/>
      <c r="F37" s="135">
        <v>44154</v>
      </c>
      <c r="G37" s="125"/>
      <c r="H37" s="125"/>
      <c r="I37" s="101"/>
      <c r="J37" s="101"/>
    </row>
    <row r="38" spans="1:10" ht="15" x14ac:dyDescent="0.25">
      <c r="A38" s="126" t="s">
        <v>538</v>
      </c>
      <c r="B38" s="353" t="s">
        <v>32</v>
      </c>
      <c r="C38" s="127"/>
      <c r="D38" s="123">
        <f t="shared" si="8"/>
        <v>269594</v>
      </c>
      <c r="E38" s="146"/>
      <c r="F38" s="135">
        <v>199978</v>
      </c>
      <c r="G38" s="125">
        <v>69616</v>
      </c>
      <c r="H38" s="125"/>
      <c r="I38" s="101"/>
      <c r="J38" s="101"/>
    </row>
    <row r="39" spans="1:10" ht="15" x14ac:dyDescent="0.25">
      <c r="A39" s="126" t="s">
        <v>538</v>
      </c>
      <c r="B39" s="218" t="s">
        <v>32</v>
      </c>
      <c r="C39" s="127" t="s">
        <v>370</v>
      </c>
      <c r="D39" s="123">
        <f>E39+F39+G39+H39</f>
        <v>95935</v>
      </c>
      <c r="E39" s="146"/>
      <c r="F39" s="135">
        <v>95935</v>
      </c>
      <c r="G39" s="125"/>
      <c r="H39" s="125"/>
      <c r="I39" s="101"/>
      <c r="J39" s="101"/>
    </row>
    <row r="40" spans="1:10" ht="15" x14ac:dyDescent="0.25">
      <c r="A40" s="126" t="s">
        <v>502</v>
      </c>
      <c r="B40" s="218" t="s">
        <v>32</v>
      </c>
      <c r="C40" s="127"/>
      <c r="D40" s="123">
        <f>E40+F40+G40+H40</f>
        <v>283412</v>
      </c>
      <c r="E40" s="146"/>
      <c r="F40" s="135">
        <v>228076</v>
      </c>
      <c r="G40" s="125">
        <v>55336</v>
      </c>
      <c r="H40" s="125"/>
      <c r="I40" s="101"/>
      <c r="J40" s="101"/>
    </row>
    <row r="41" spans="1:10" ht="15" x14ac:dyDescent="0.25">
      <c r="A41" s="126" t="s">
        <v>502</v>
      </c>
      <c r="B41" s="353" t="s">
        <v>32</v>
      </c>
      <c r="C41" s="127" t="s">
        <v>370</v>
      </c>
      <c r="D41" s="123">
        <f>E41+F41+G41+H41</f>
        <v>79151</v>
      </c>
      <c r="E41" s="146"/>
      <c r="F41" s="135">
        <v>79151</v>
      </c>
      <c r="G41" s="125"/>
      <c r="H41" s="125"/>
      <c r="I41" s="101"/>
      <c r="J41" s="101"/>
    </row>
    <row r="42" spans="1:10" ht="15" x14ac:dyDescent="0.25">
      <c r="A42" s="126" t="s">
        <v>539</v>
      </c>
      <c r="B42" s="218" t="s">
        <v>32</v>
      </c>
      <c r="C42" s="127"/>
      <c r="D42" s="123">
        <f>E42+F42+G42+H42</f>
        <v>474939</v>
      </c>
      <c r="E42" s="146"/>
      <c r="F42" s="135">
        <v>327510</v>
      </c>
      <c r="G42" s="125">
        <v>147429</v>
      </c>
      <c r="H42" s="125"/>
      <c r="I42" s="101"/>
      <c r="J42" s="101"/>
    </row>
    <row r="43" spans="1:10" ht="15" x14ac:dyDescent="0.25">
      <c r="A43" s="126" t="s">
        <v>539</v>
      </c>
      <c r="B43" s="353" t="s">
        <v>32</v>
      </c>
      <c r="C43" s="127" t="s">
        <v>370</v>
      </c>
      <c r="D43" s="123">
        <f t="shared" ref="D43:D46" si="9">E43+F43+G43+H43</f>
        <v>70245</v>
      </c>
      <c r="E43" s="146"/>
      <c r="F43" s="135">
        <v>70245</v>
      </c>
      <c r="G43" s="125"/>
      <c r="H43" s="125"/>
      <c r="I43" s="101"/>
      <c r="J43" s="101"/>
    </row>
    <row r="44" spans="1:10" ht="15" x14ac:dyDescent="0.25">
      <c r="A44" s="126" t="s">
        <v>392</v>
      </c>
      <c r="B44" s="218" t="s">
        <v>32</v>
      </c>
      <c r="C44" s="127"/>
      <c r="D44" s="123">
        <f t="shared" si="9"/>
        <v>424890</v>
      </c>
      <c r="E44" s="146"/>
      <c r="F44" s="135">
        <v>311486</v>
      </c>
      <c r="G44" s="125">
        <v>113404</v>
      </c>
      <c r="H44" s="125"/>
      <c r="I44" s="101"/>
      <c r="J44" s="101"/>
    </row>
    <row r="45" spans="1:10" ht="15" x14ac:dyDescent="0.25">
      <c r="A45" s="126" t="s">
        <v>392</v>
      </c>
      <c r="B45" s="353" t="s">
        <v>32</v>
      </c>
      <c r="C45" s="127" t="s">
        <v>370</v>
      </c>
      <c r="D45" s="123">
        <f t="shared" si="9"/>
        <v>60210</v>
      </c>
      <c r="E45" s="146"/>
      <c r="F45" s="135">
        <v>60210</v>
      </c>
      <c r="G45" s="125"/>
      <c r="H45" s="125"/>
      <c r="I45" s="101"/>
      <c r="J45" s="101"/>
    </row>
    <row r="46" spans="1:10" ht="15" x14ac:dyDescent="0.25">
      <c r="A46" s="126" t="s">
        <v>540</v>
      </c>
      <c r="B46" s="218" t="s">
        <v>32</v>
      </c>
      <c r="C46" s="127"/>
      <c r="D46" s="123">
        <f t="shared" si="9"/>
        <v>402913</v>
      </c>
      <c r="E46" s="146"/>
      <c r="F46" s="135">
        <v>303555</v>
      </c>
      <c r="G46" s="125">
        <v>99358</v>
      </c>
      <c r="H46" s="125"/>
      <c r="I46" s="101"/>
      <c r="J46" s="101"/>
    </row>
    <row r="47" spans="1:10" ht="15" x14ac:dyDescent="0.25">
      <c r="A47" s="126" t="s">
        <v>540</v>
      </c>
      <c r="B47" s="353" t="s">
        <v>32</v>
      </c>
      <c r="C47" s="127" t="s">
        <v>370</v>
      </c>
      <c r="D47" s="123">
        <f>E47+F47+G47+H47</f>
        <v>60210</v>
      </c>
      <c r="E47" s="146"/>
      <c r="F47" s="135">
        <v>60210</v>
      </c>
      <c r="G47" s="125"/>
      <c r="H47" s="125"/>
      <c r="I47" s="101"/>
      <c r="J47" s="101"/>
    </row>
    <row r="48" spans="1:10" ht="15" x14ac:dyDescent="0.25">
      <c r="A48" s="126" t="s">
        <v>541</v>
      </c>
      <c r="B48" s="218" t="s">
        <v>32</v>
      </c>
      <c r="C48" s="127"/>
      <c r="D48" s="123">
        <f>E48+F48+G48+H48</f>
        <v>398828</v>
      </c>
      <c r="E48" s="146"/>
      <c r="F48" s="135">
        <v>189514</v>
      </c>
      <c r="G48" s="125">
        <v>209314</v>
      </c>
      <c r="H48" s="125"/>
      <c r="I48" s="101"/>
      <c r="J48" s="101"/>
    </row>
    <row r="49" spans="1:10" ht="15" x14ac:dyDescent="0.25">
      <c r="A49" s="126" t="s">
        <v>541</v>
      </c>
      <c r="B49" s="218" t="s">
        <v>32</v>
      </c>
      <c r="C49" s="133" t="s">
        <v>370</v>
      </c>
      <c r="D49" s="123">
        <f t="shared" ref="D49:D52" si="10">E49+F49+G49+H49</f>
        <v>102356</v>
      </c>
      <c r="E49" s="146"/>
      <c r="F49" s="135">
        <v>102356</v>
      </c>
      <c r="G49" s="125"/>
      <c r="H49" s="125"/>
      <c r="I49" s="101"/>
      <c r="J49" s="101"/>
    </row>
    <row r="50" spans="1:10" ht="15" x14ac:dyDescent="0.25">
      <c r="A50" s="131" t="s">
        <v>547</v>
      </c>
      <c r="B50" s="218" t="s">
        <v>32</v>
      </c>
      <c r="C50" s="127"/>
      <c r="D50" s="123">
        <f t="shared" si="10"/>
        <v>196968</v>
      </c>
      <c r="E50" s="146"/>
      <c r="F50" s="135">
        <v>95185</v>
      </c>
      <c r="G50" s="125">
        <v>101783</v>
      </c>
      <c r="H50" s="125"/>
      <c r="I50" s="101"/>
      <c r="J50" s="101"/>
    </row>
    <row r="51" spans="1:10" ht="15" x14ac:dyDescent="0.25">
      <c r="A51" s="131" t="s">
        <v>547</v>
      </c>
      <c r="B51" s="218" t="s">
        <v>32</v>
      </c>
      <c r="C51" s="133" t="s">
        <v>370</v>
      </c>
      <c r="D51" s="123">
        <f t="shared" si="10"/>
        <v>56999</v>
      </c>
      <c r="E51" s="146"/>
      <c r="F51" s="135">
        <v>56999</v>
      </c>
      <c r="G51" s="125"/>
      <c r="H51" s="125"/>
      <c r="I51" s="101"/>
      <c r="J51" s="101"/>
    </row>
    <row r="52" spans="1:10" ht="15" x14ac:dyDescent="0.25">
      <c r="A52" s="131" t="s">
        <v>542</v>
      </c>
      <c r="B52" s="218" t="s">
        <v>32</v>
      </c>
      <c r="C52" s="127"/>
      <c r="D52" s="123">
        <f t="shared" si="10"/>
        <v>533398</v>
      </c>
      <c r="E52" s="146"/>
      <c r="F52" s="135">
        <v>196606</v>
      </c>
      <c r="G52" s="125">
        <v>336792</v>
      </c>
      <c r="H52" s="125"/>
      <c r="I52" s="101"/>
      <c r="J52" s="101"/>
    </row>
    <row r="53" spans="1:10" ht="15" x14ac:dyDescent="0.25">
      <c r="A53" s="131" t="s">
        <v>542</v>
      </c>
      <c r="B53" s="218" t="s">
        <v>32</v>
      </c>
      <c r="C53" s="133" t="s">
        <v>370</v>
      </c>
      <c r="D53" s="123">
        <f>E53+F53+G53+H53</f>
        <v>54189</v>
      </c>
      <c r="E53" s="146"/>
      <c r="F53" s="135">
        <v>54189</v>
      </c>
      <c r="G53" s="125"/>
      <c r="H53" s="125"/>
      <c r="I53" s="101"/>
      <c r="J53" s="101"/>
    </row>
    <row r="54" spans="1:10" ht="15" x14ac:dyDescent="0.25">
      <c r="A54" s="131" t="s">
        <v>543</v>
      </c>
      <c r="B54" s="218" t="s">
        <v>32</v>
      </c>
      <c r="C54" s="133"/>
      <c r="D54" s="123">
        <f>E54+F54+G54+H54</f>
        <v>419688</v>
      </c>
      <c r="E54" s="146"/>
      <c r="F54" s="135">
        <v>184912</v>
      </c>
      <c r="G54" s="125">
        <v>234776</v>
      </c>
      <c r="H54" s="125"/>
      <c r="I54" s="101"/>
      <c r="J54" s="101"/>
    </row>
    <row r="55" spans="1:10" ht="15.75" thickBot="1" x14ac:dyDescent="0.3">
      <c r="A55" s="131" t="s">
        <v>543</v>
      </c>
      <c r="B55" s="219" t="s">
        <v>32</v>
      </c>
      <c r="C55" s="133" t="s">
        <v>370</v>
      </c>
      <c r="D55" s="123">
        <f>E55+F55+G55+H55</f>
        <v>99306</v>
      </c>
      <c r="E55" s="146"/>
      <c r="F55" s="135">
        <v>99306</v>
      </c>
      <c r="G55" s="125"/>
      <c r="H55" s="125"/>
      <c r="I55" s="101"/>
      <c r="J55" s="101"/>
    </row>
    <row r="56" spans="1:10" s="102" customFormat="1" ht="15" thickBot="1" x14ac:dyDescent="0.25">
      <c r="A56" s="110" t="s">
        <v>548</v>
      </c>
      <c r="B56" s="111"/>
      <c r="C56" s="112"/>
      <c r="D56" s="113">
        <f>SUM(D57:D59)</f>
        <v>4500299</v>
      </c>
      <c r="E56" s="114">
        <f>SUM(E57:E59)</f>
        <v>0</v>
      </c>
      <c r="F56" s="115">
        <f>SUM(F57:F59)</f>
        <v>4500299</v>
      </c>
      <c r="G56" s="116">
        <f>SUM(G57:G59)</f>
        <v>0</v>
      </c>
      <c r="H56" s="116"/>
    </row>
    <row r="57" spans="1:10" ht="15" x14ac:dyDescent="0.25">
      <c r="A57" s="120" t="s">
        <v>268</v>
      </c>
      <c r="B57" s="121" t="s">
        <v>33</v>
      </c>
      <c r="C57" s="122" t="s">
        <v>369</v>
      </c>
      <c r="D57" s="123">
        <f>SUM(F57,G57,E57)</f>
        <v>186373</v>
      </c>
      <c r="E57" s="146"/>
      <c r="F57" s="124">
        <v>186373</v>
      </c>
      <c r="G57" s="125"/>
      <c r="H57" s="125"/>
      <c r="I57" s="101"/>
      <c r="J57" s="101"/>
    </row>
    <row r="58" spans="1:10" ht="15" x14ac:dyDescent="0.25">
      <c r="A58" s="126" t="s">
        <v>268</v>
      </c>
      <c r="B58" s="64" t="s">
        <v>33</v>
      </c>
      <c r="C58" s="127" t="s">
        <v>370</v>
      </c>
      <c r="D58" s="123">
        <f t="shared" ref="D58:D59" si="11">SUM(F58,G58,E58)</f>
        <v>4306312</v>
      </c>
      <c r="E58" s="146"/>
      <c r="F58" s="66">
        <v>4306312</v>
      </c>
      <c r="G58" s="128"/>
      <c r="H58" s="128"/>
      <c r="I58" s="101"/>
      <c r="J58" s="101"/>
    </row>
    <row r="59" spans="1:10" ht="15.75" thickBot="1" x14ac:dyDescent="0.3">
      <c r="A59" s="126" t="s">
        <v>371</v>
      </c>
      <c r="B59" s="64" t="s">
        <v>33</v>
      </c>
      <c r="C59" s="127"/>
      <c r="D59" s="123">
        <f t="shared" si="11"/>
        <v>7614</v>
      </c>
      <c r="E59" s="146"/>
      <c r="F59" s="66">
        <v>7614</v>
      </c>
      <c r="G59" s="128"/>
      <c r="H59" s="128"/>
      <c r="I59" s="101"/>
      <c r="J59" s="101"/>
    </row>
    <row r="60" spans="1:10" ht="15.75" thickBot="1" x14ac:dyDescent="0.3">
      <c r="A60" s="110" t="s">
        <v>415</v>
      </c>
      <c r="B60" s="236"/>
      <c r="C60" s="237"/>
      <c r="D60" s="238">
        <f>SUM(D61)</f>
        <v>155480</v>
      </c>
      <c r="E60" s="238">
        <f>SUM(E61)</f>
        <v>0</v>
      </c>
      <c r="F60" s="238">
        <f t="shared" ref="F60:G60" si="12">SUM(F61)</f>
        <v>0</v>
      </c>
      <c r="G60" s="238">
        <f t="shared" si="12"/>
        <v>155480</v>
      </c>
      <c r="H60" s="116">
        <v>0</v>
      </c>
      <c r="I60" s="101"/>
      <c r="J60" s="101"/>
    </row>
    <row r="61" spans="1:10" ht="15.75" thickBot="1" x14ac:dyDescent="0.3">
      <c r="A61" s="137" t="s">
        <v>268</v>
      </c>
      <c r="B61" s="235" t="s">
        <v>174</v>
      </c>
      <c r="C61" s="139"/>
      <c r="D61" s="140">
        <f>SUM(E61:G61)</f>
        <v>155480</v>
      </c>
      <c r="E61" s="234"/>
      <c r="F61" s="141"/>
      <c r="G61" s="142">
        <v>155480</v>
      </c>
      <c r="H61" s="142"/>
      <c r="I61" s="101"/>
      <c r="J61" s="101"/>
    </row>
    <row r="62" spans="1:10" s="102" customFormat="1" ht="15" thickBot="1" x14ac:dyDescent="0.25">
      <c r="A62" s="110" t="s">
        <v>403</v>
      </c>
      <c r="B62" s="111"/>
      <c r="C62" s="112"/>
      <c r="D62" s="113">
        <f>SUM(D63:D66)</f>
        <v>251275</v>
      </c>
      <c r="E62" s="115">
        <f>SUM(E63:E66)</f>
        <v>119375</v>
      </c>
      <c r="F62" s="115">
        <f t="shared" ref="F62:G62" si="13">SUM(F63:F66)</f>
        <v>40970</v>
      </c>
      <c r="G62" s="115">
        <f t="shared" si="13"/>
        <v>90930</v>
      </c>
      <c r="H62" s="116"/>
    </row>
    <row r="63" spans="1:10" ht="15" x14ac:dyDescent="0.25">
      <c r="A63" s="120" t="s">
        <v>268</v>
      </c>
      <c r="B63" s="121" t="s">
        <v>36</v>
      </c>
      <c r="C63" s="122"/>
      <c r="D63" s="134">
        <f>SUM(E63:H63)</f>
        <v>15000</v>
      </c>
      <c r="E63" s="146"/>
      <c r="F63" s="124"/>
      <c r="G63" s="136">
        <v>15000</v>
      </c>
      <c r="H63" s="136"/>
      <c r="I63" s="101"/>
      <c r="J63" s="101"/>
    </row>
    <row r="64" spans="1:10" ht="15" x14ac:dyDescent="0.25">
      <c r="A64" s="120" t="s">
        <v>401</v>
      </c>
      <c r="B64" s="354" t="s">
        <v>36</v>
      </c>
      <c r="C64" s="122"/>
      <c r="D64" s="134">
        <f>SUM(E64:H64)</f>
        <v>94964</v>
      </c>
      <c r="E64" s="146"/>
      <c r="F64" s="124">
        <v>27964</v>
      </c>
      <c r="G64" s="136">
        <v>67000</v>
      </c>
      <c r="H64" s="136"/>
      <c r="I64" s="101"/>
      <c r="J64" s="101"/>
    </row>
    <row r="65" spans="1:10" ht="15" x14ac:dyDescent="0.25">
      <c r="A65" s="126" t="s">
        <v>502</v>
      </c>
      <c r="B65" s="64" t="s">
        <v>36</v>
      </c>
      <c r="C65" s="127"/>
      <c r="D65" s="134">
        <f t="shared" ref="D65:D66" si="14">SUM(E65:H65)</f>
        <v>21936</v>
      </c>
      <c r="E65" s="146"/>
      <c r="F65" s="124">
        <v>13006</v>
      </c>
      <c r="G65" s="136">
        <v>8930</v>
      </c>
      <c r="H65" s="136"/>
      <c r="I65" s="101"/>
      <c r="J65" s="101"/>
    </row>
    <row r="66" spans="1:10" ht="15.75" thickBot="1" x14ac:dyDescent="0.3">
      <c r="A66" s="137" t="s">
        <v>419</v>
      </c>
      <c r="B66" s="235" t="s">
        <v>36</v>
      </c>
      <c r="C66" s="122" t="s">
        <v>369</v>
      </c>
      <c r="D66" s="134">
        <f t="shared" si="14"/>
        <v>119375</v>
      </c>
      <c r="E66" s="220">
        <v>119375</v>
      </c>
      <c r="F66" s="141"/>
      <c r="G66" s="136"/>
      <c r="H66" s="136"/>
      <c r="I66" s="101"/>
      <c r="J66" s="101"/>
    </row>
    <row r="67" spans="1:10" s="102" customFormat="1" ht="15" thickBot="1" x14ac:dyDescent="0.25">
      <c r="A67" s="110" t="s">
        <v>373</v>
      </c>
      <c r="B67" s="111"/>
      <c r="C67" s="112"/>
      <c r="D67" s="113">
        <f>SUM(D68:D72)</f>
        <v>2705251</v>
      </c>
      <c r="E67" s="114">
        <f>SUM(E68:E72)</f>
        <v>235423</v>
      </c>
      <c r="F67" s="114">
        <f t="shared" ref="F67:G67" si="15">SUM(F68:F72)</f>
        <v>345326</v>
      </c>
      <c r="G67" s="114">
        <f t="shared" si="15"/>
        <v>2124502</v>
      </c>
      <c r="H67" s="116"/>
    </row>
    <row r="68" spans="1:10" ht="15" x14ac:dyDescent="0.25">
      <c r="A68" s="120" t="s">
        <v>268</v>
      </c>
      <c r="B68" s="121" t="s">
        <v>37</v>
      </c>
      <c r="C68" s="122" t="s">
        <v>370</v>
      </c>
      <c r="D68" s="123">
        <f>SUM(E68:H68)</f>
        <v>2112075</v>
      </c>
      <c r="E68" s="146"/>
      <c r="F68" s="124"/>
      <c r="G68" s="125">
        <v>2112075</v>
      </c>
      <c r="H68" s="125"/>
      <c r="I68" s="101"/>
      <c r="J68" s="101"/>
    </row>
    <row r="69" spans="1:10" ht="15" x14ac:dyDescent="0.25">
      <c r="A69" s="126" t="s">
        <v>268</v>
      </c>
      <c r="B69" s="64" t="s">
        <v>37</v>
      </c>
      <c r="C69" s="127"/>
      <c r="D69" s="123">
        <f t="shared" ref="D69:D71" si="16">SUM(E69:H69)</f>
        <v>300000</v>
      </c>
      <c r="E69" s="146"/>
      <c r="F69" s="66">
        <v>300000</v>
      </c>
      <c r="G69" s="128"/>
      <c r="H69" s="128"/>
      <c r="I69" s="101"/>
      <c r="J69" s="101"/>
    </row>
    <row r="70" spans="1:10" ht="15" x14ac:dyDescent="0.25">
      <c r="A70" s="131" t="s">
        <v>401</v>
      </c>
      <c r="B70" s="64" t="s">
        <v>37</v>
      </c>
      <c r="C70" s="133"/>
      <c r="D70" s="123">
        <f t="shared" si="16"/>
        <v>44105</v>
      </c>
      <c r="E70" s="146"/>
      <c r="F70" s="66">
        <v>31678</v>
      </c>
      <c r="G70" s="128">
        <v>12427</v>
      </c>
      <c r="H70" s="128"/>
      <c r="I70" s="101"/>
      <c r="J70" s="101"/>
    </row>
    <row r="71" spans="1:10" ht="15" x14ac:dyDescent="0.25">
      <c r="A71" s="131" t="s">
        <v>502</v>
      </c>
      <c r="B71" s="132" t="s">
        <v>37</v>
      </c>
      <c r="C71" s="268"/>
      <c r="D71" s="123">
        <f t="shared" si="16"/>
        <v>13648</v>
      </c>
      <c r="E71" s="146"/>
      <c r="F71" s="135">
        <v>13648</v>
      </c>
      <c r="G71" s="136"/>
      <c r="H71" s="136"/>
      <c r="I71" s="101"/>
      <c r="J71" s="101"/>
    </row>
    <row r="72" spans="1:10" ht="15.75" thickBot="1" x14ac:dyDescent="0.3">
      <c r="A72" s="257" t="s">
        <v>419</v>
      </c>
      <c r="B72" s="258" t="s">
        <v>37</v>
      </c>
      <c r="C72" s="122" t="s">
        <v>369</v>
      </c>
      <c r="D72" s="134">
        <f>SUM(F72,G72,E72)</f>
        <v>235423</v>
      </c>
      <c r="E72" s="220">
        <v>235423</v>
      </c>
      <c r="F72" s="135"/>
      <c r="G72" s="136"/>
      <c r="H72" s="136"/>
      <c r="I72" s="101"/>
      <c r="J72" s="101"/>
    </row>
    <row r="73" spans="1:10" s="102" customFormat="1" ht="15" thickBot="1" x14ac:dyDescent="0.25">
      <c r="A73" s="110" t="s">
        <v>435</v>
      </c>
      <c r="B73" s="111"/>
      <c r="C73" s="112"/>
      <c r="D73" s="113">
        <f>SUM(D74:D74)</f>
        <v>28000</v>
      </c>
      <c r="E73" s="114">
        <f>E74</f>
        <v>0</v>
      </c>
      <c r="F73" s="114">
        <f t="shared" ref="F73:H73" si="17">F74</f>
        <v>6320</v>
      </c>
      <c r="G73" s="114">
        <f t="shared" si="17"/>
        <v>21680</v>
      </c>
      <c r="H73" s="114">
        <f t="shared" si="17"/>
        <v>0</v>
      </c>
    </row>
    <row r="74" spans="1:10" ht="15.75" thickBot="1" x14ac:dyDescent="0.3">
      <c r="A74" s="137" t="s">
        <v>268</v>
      </c>
      <c r="B74" s="138" t="s">
        <v>38</v>
      </c>
      <c r="C74" s="139" t="s">
        <v>369</v>
      </c>
      <c r="D74" s="140">
        <f>SUM(F74,G74,E74)</f>
        <v>28000</v>
      </c>
      <c r="E74" s="220"/>
      <c r="F74" s="141">
        <v>6320</v>
      </c>
      <c r="G74" s="142">
        <v>21680</v>
      </c>
      <c r="H74" s="142"/>
      <c r="I74" s="101"/>
      <c r="J74" s="101"/>
    </row>
    <row r="75" spans="1:10" s="102" customFormat="1" ht="15" thickBot="1" x14ac:dyDescent="0.25">
      <c r="A75" s="110" t="s">
        <v>374</v>
      </c>
      <c r="B75" s="111"/>
      <c r="C75" s="112"/>
      <c r="D75" s="113">
        <f>SUM(D76:D78)</f>
        <v>1025381</v>
      </c>
      <c r="E75" s="114">
        <f>SUM(E76:E78)</f>
        <v>271900</v>
      </c>
      <c r="F75" s="115">
        <f t="shared" ref="F75:G75" si="18">SUM(F76:F78)</f>
        <v>501265</v>
      </c>
      <c r="G75" s="116">
        <f t="shared" si="18"/>
        <v>252216</v>
      </c>
      <c r="H75" s="116"/>
    </row>
    <row r="76" spans="1:10" ht="15" x14ac:dyDescent="0.25">
      <c r="A76" s="120" t="s">
        <v>375</v>
      </c>
      <c r="B76" s="121" t="s">
        <v>39</v>
      </c>
      <c r="C76" s="122"/>
      <c r="D76" s="123">
        <f>SUM(F76,G76,E76)</f>
        <v>487476</v>
      </c>
      <c r="E76" s="146"/>
      <c r="F76" s="124">
        <v>437654</v>
      </c>
      <c r="G76" s="125">
        <v>49822</v>
      </c>
      <c r="H76" s="125"/>
      <c r="I76" s="101"/>
      <c r="J76" s="101"/>
    </row>
    <row r="77" spans="1:10" ht="15" x14ac:dyDescent="0.25">
      <c r="A77" s="126" t="s">
        <v>268</v>
      </c>
      <c r="B77" s="64" t="s">
        <v>39</v>
      </c>
      <c r="C77" s="127" t="s">
        <v>369</v>
      </c>
      <c r="D77" s="123">
        <f>SUM(F77,G77,E77)</f>
        <v>108164</v>
      </c>
      <c r="E77" s="146"/>
      <c r="F77" s="66">
        <v>60611</v>
      </c>
      <c r="G77" s="128">
        <v>47553</v>
      </c>
      <c r="H77" s="128"/>
      <c r="I77" s="101"/>
      <c r="J77" s="101"/>
    </row>
    <row r="78" spans="1:10" ht="15.75" thickBot="1" x14ac:dyDescent="0.3">
      <c r="A78" s="126" t="s">
        <v>268</v>
      </c>
      <c r="B78" s="64" t="s">
        <v>39</v>
      </c>
      <c r="C78" s="127"/>
      <c r="D78" s="123">
        <f>SUM(F78,G78,E78)</f>
        <v>429741</v>
      </c>
      <c r="E78" s="146">
        <v>271900</v>
      </c>
      <c r="F78" s="66">
        <v>3000</v>
      </c>
      <c r="G78" s="128">
        <v>154841</v>
      </c>
      <c r="H78" s="128"/>
      <c r="I78" s="101"/>
      <c r="J78" s="101"/>
    </row>
    <row r="79" spans="1:10" s="102" customFormat="1" ht="15" thickBot="1" x14ac:dyDescent="0.25">
      <c r="A79" s="110" t="s">
        <v>376</v>
      </c>
      <c r="B79" s="111"/>
      <c r="C79" s="112"/>
      <c r="D79" s="113">
        <f t="shared" ref="D79:G79" si="19">D80</f>
        <v>35000</v>
      </c>
      <c r="E79" s="114">
        <f t="shared" si="19"/>
        <v>0</v>
      </c>
      <c r="F79" s="115">
        <f t="shared" si="19"/>
        <v>0</v>
      </c>
      <c r="G79" s="116">
        <f t="shared" si="19"/>
        <v>35000</v>
      </c>
      <c r="H79" s="116"/>
    </row>
    <row r="80" spans="1:10" ht="15" x14ac:dyDescent="0.25">
      <c r="A80" s="147" t="s">
        <v>268</v>
      </c>
      <c r="B80" s="148" t="s">
        <v>28</v>
      </c>
      <c r="C80" s="149"/>
      <c r="D80" s="150">
        <f>SUM(F80,G80,E80)</f>
        <v>35000</v>
      </c>
      <c r="E80" s="221"/>
      <c r="F80" s="151"/>
      <c r="G80" s="152">
        <v>35000</v>
      </c>
      <c r="H80" s="232"/>
      <c r="I80" s="101"/>
      <c r="J80" s="101"/>
    </row>
  </sheetData>
  <mergeCells count="4"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1" firstPageNumber="13" fitToHeight="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8" sqref="H18"/>
    </sheetView>
  </sheetViews>
  <sheetFormatPr defaultRowHeight="15" x14ac:dyDescent="0.25"/>
  <cols>
    <col min="1" max="1" width="26.5703125" style="2" customWidth="1"/>
    <col min="2" max="2" width="13" style="2" customWidth="1"/>
    <col min="3" max="3" width="11.28515625" style="2" customWidth="1"/>
    <col min="4" max="4" width="11.28515625" style="2" bestFit="1" customWidth="1"/>
    <col min="5" max="5" width="10.7109375" style="2" bestFit="1" customWidth="1"/>
    <col min="6" max="243" width="9.140625" style="2"/>
    <col min="244" max="244" width="26.5703125" style="2" customWidth="1"/>
    <col min="245" max="245" width="13.42578125" style="2" customWidth="1"/>
    <col min="246" max="246" width="12.28515625" style="2" customWidth="1"/>
    <col min="247" max="248" width="12.85546875" style="2" customWidth="1"/>
    <col min="249" max="249" width="10.5703125" style="2" customWidth="1"/>
    <col min="250" max="251" width="10.42578125" style="2" customWidth="1"/>
    <col min="252" max="252" width="12.42578125" style="2" customWidth="1"/>
    <col min="253" max="253" width="10" style="2" customWidth="1"/>
    <col min="254" max="254" width="10.28515625" style="2" customWidth="1"/>
    <col min="255" max="255" width="11.28515625" style="2" customWidth="1"/>
    <col min="256" max="256" width="10.7109375" style="2" customWidth="1"/>
    <col min="257" max="257" width="11" style="2" customWidth="1"/>
    <col min="258" max="258" width="11.85546875" style="2" customWidth="1"/>
    <col min="259" max="259" width="12.85546875" style="2" customWidth="1"/>
    <col min="260" max="260" width="11" style="2" customWidth="1"/>
    <col min="261" max="261" width="11.85546875" style="2" customWidth="1"/>
    <col min="262" max="499" width="9.140625" style="2"/>
    <col min="500" max="500" width="26.5703125" style="2" customWidth="1"/>
    <col min="501" max="501" width="13.42578125" style="2" customWidth="1"/>
    <col min="502" max="502" width="12.28515625" style="2" customWidth="1"/>
    <col min="503" max="504" width="12.85546875" style="2" customWidth="1"/>
    <col min="505" max="505" width="10.5703125" style="2" customWidth="1"/>
    <col min="506" max="507" width="10.42578125" style="2" customWidth="1"/>
    <col min="508" max="508" width="12.42578125" style="2" customWidth="1"/>
    <col min="509" max="509" width="10" style="2" customWidth="1"/>
    <col min="510" max="510" width="10.28515625" style="2" customWidth="1"/>
    <col min="511" max="511" width="11.28515625" style="2" customWidth="1"/>
    <col min="512" max="512" width="10.7109375" style="2" customWidth="1"/>
    <col min="513" max="513" width="11" style="2" customWidth="1"/>
    <col min="514" max="514" width="11.85546875" style="2" customWidth="1"/>
    <col min="515" max="515" width="12.85546875" style="2" customWidth="1"/>
    <col min="516" max="516" width="11" style="2" customWidth="1"/>
    <col min="517" max="517" width="11.85546875" style="2" customWidth="1"/>
    <col min="518" max="755" width="9.140625" style="2"/>
    <col min="756" max="756" width="26.5703125" style="2" customWidth="1"/>
    <col min="757" max="757" width="13.42578125" style="2" customWidth="1"/>
    <col min="758" max="758" width="12.28515625" style="2" customWidth="1"/>
    <col min="759" max="760" width="12.85546875" style="2" customWidth="1"/>
    <col min="761" max="761" width="10.5703125" style="2" customWidth="1"/>
    <col min="762" max="763" width="10.42578125" style="2" customWidth="1"/>
    <col min="764" max="764" width="12.42578125" style="2" customWidth="1"/>
    <col min="765" max="765" width="10" style="2" customWidth="1"/>
    <col min="766" max="766" width="10.28515625" style="2" customWidth="1"/>
    <col min="767" max="767" width="11.28515625" style="2" customWidth="1"/>
    <col min="768" max="768" width="10.7109375" style="2" customWidth="1"/>
    <col min="769" max="769" width="11" style="2" customWidth="1"/>
    <col min="770" max="770" width="11.85546875" style="2" customWidth="1"/>
    <col min="771" max="771" width="12.85546875" style="2" customWidth="1"/>
    <col min="772" max="772" width="11" style="2" customWidth="1"/>
    <col min="773" max="773" width="11.85546875" style="2" customWidth="1"/>
    <col min="774" max="1011" width="9.140625" style="2"/>
    <col min="1012" max="1012" width="26.5703125" style="2" customWidth="1"/>
    <col min="1013" max="1013" width="13.42578125" style="2" customWidth="1"/>
    <col min="1014" max="1014" width="12.28515625" style="2" customWidth="1"/>
    <col min="1015" max="1016" width="12.85546875" style="2" customWidth="1"/>
    <col min="1017" max="1017" width="10.5703125" style="2" customWidth="1"/>
    <col min="1018" max="1019" width="10.42578125" style="2" customWidth="1"/>
    <col min="1020" max="1020" width="12.42578125" style="2" customWidth="1"/>
    <col min="1021" max="1021" width="10" style="2" customWidth="1"/>
    <col min="1022" max="1022" width="10.28515625" style="2" customWidth="1"/>
    <col min="1023" max="1023" width="11.28515625" style="2" customWidth="1"/>
    <col min="1024" max="1024" width="10.7109375" style="2" customWidth="1"/>
    <col min="1025" max="1025" width="11" style="2" customWidth="1"/>
    <col min="1026" max="1026" width="11.85546875" style="2" customWidth="1"/>
    <col min="1027" max="1027" width="12.85546875" style="2" customWidth="1"/>
    <col min="1028" max="1028" width="11" style="2" customWidth="1"/>
    <col min="1029" max="1029" width="11.85546875" style="2" customWidth="1"/>
    <col min="1030" max="1267" width="9.140625" style="2"/>
    <col min="1268" max="1268" width="26.5703125" style="2" customWidth="1"/>
    <col min="1269" max="1269" width="13.42578125" style="2" customWidth="1"/>
    <col min="1270" max="1270" width="12.28515625" style="2" customWidth="1"/>
    <col min="1271" max="1272" width="12.85546875" style="2" customWidth="1"/>
    <col min="1273" max="1273" width="10.5703125" style="2" customWidth="1"/>
    <col min="1274" max="1275" width="10.42578125" style="2" customWidth="1"/>
    <col min="1276" max="1276" width="12.42578125" style="2" customWidth="1"/>
    <col min="1277" max="1277" width="10" style="2" customWidth="1"/>
    <col min="1278" max="1278" width="10.28515625" style="2" customWidth="1"/>
    <col min="1279" max="1279" width="11.28515625" style="2" customWidth="1"/>
    <col min="1280" max="1280" width="10.7109375" style="2" customWidth="1"/>
    <col min="1281" max="1281" width="11" style="2" customWidth="1"/>
    <col min="1282" max="1282" width="11.85546875" style="2" customWidth="1"/>
    <col min="1283" max="1283" width="12.85546875" style="2" customWidth="1"/>
    <col min="1284" max="1284" width="11" style="2" customWidth="1"/>
    <col min="1285" max="1285" width="11.85546875" style="2" customWidth="1"/>
    <col min="1286" max="1523" width="9.140625" style="2"/>
    <col min="1524" max="1524" width="26.5703125" style="2" customWidth="1"/>
    <col min="1525" max="1525" width="13.42578125" style="2" customWidth="1"/>
    <col min="1526" max="1526" width="12.28515625" style="2" customWidth="1"/>
    <col min="1527" max="1528" width="12.85546875" style="2" customWidth="1"/>
    <col min="1529" max="1529" width="10.5703125" style="2" customWidth="1"/>
    <col min="1530" max="1531" width="10.42578125" style="2" customWidth="1"/>
    <col min="1532" max="1532" width="12.42578125" style="2" customWidth="1"/>
    <col min="1533" max="1533" width="10" style="2" customWidth="1"/>
    <col min="1534" max="1534" width="10.28515625" style="2" customWidth="1"/>
    <col min="1535" max="1535" width="11.28515625" style="2" customWidth="1"/>
    <col min="1536" max="1536" width="10.7109375" style="2" customWidth="1"/>
    <col min="1537" max="1537" width="11" style="2" customWidth="1"/>
    <col min="1538" max="1538" width="11.85546875" style="2" customWidth="1"/>
    <col min="1539" max="1539" width="12.85546875" style="2" customWidth="1"/>
    <col min="1540" max="1540" width="11" style="2" customWidth="1"/>
    <col min="1541" max="1541" width="11.85546875" style="2" customWidth="1"/>
    <col min="1542" max="1779" width="9.140625" style="2"/>
    <col min="1780" max="1780" width="26.5703125" style="2" customWidth="1"/>
    <col min="1781" max="1781" width="13.42578125" style="2" customWidth="1"/>
    <col min="1782" max="1782" width="12.28515625" style="2" customWidth="1"/>
    <col min="1783" max="1784" width="12.85546875" style="2" customWidth="1"/>
    <col min="1785" max="1785" width="10.5703125" style="2" customWidth="1"/>
    <col min="1786" max="1787" width="10.42578125" style="2" customWidth="1"/>
    <col min="1788" max="1788" width="12.42578125" style="2" customWidth="1"/>
    <col min="1789" max="1789" width="10" style="2" customWidth="1"/>
    <col min="1790" max="1790" width="10.28515625" style="2" customWidth="1"/>
    <col min="1791" max="1791" width="11.28515625" style="2" customWidth="1"/>
    <col min="1792" max="1792" width="10.7109375" style="2" customWidth="1"/>
    <col min="1793" max="1793" width="11" style="2" customWidth="1"/>
    <col min="1794" max="1794" width="11.85546875" style="2" customWidth="1"/>
    <col min="1795" max="1795" width="12.85546875" style="2" customWidth="1"/>
    <col min="1796" max="1796" width="11" style="2" customWidth="1"/>
    <col min="1797" max="1797" width="11.85546875" style="2" customWidth="1"/>
    <col min="1798" max="2035" width="9.140625" style="2"/>
    <col min="2036" max="2036" width="26.5703125" style="2" customWidth="1"/>
    <col min="2037" max="2037" width="13.42578125" style="2" customWidth="1"/>
    <col min="2038" max="2038" width="12.28515625" style="2" customWidth="1"/>
    <col min="2039" max="2040" width="12.85546875" style="2" customWidth="1"/>
    <col min="2041" max="2041" width="10.5703125" style="2" customWidth="1"/>
    <col min="2042" max="2043" width="10.42578125" style="2" customWidth="1"/>
    <col min="2044" max="2044" width="12.42578125" style="2" customWidth="1"/>
    <col min="2045" max="2045" width="10" style="2" customWidth="1"/>
    <col min="2046" max="2046" width="10.28515625" style="2" customWidth="1"/>
    <col min="2047" max="2047" width="11.28515625" style="2" customWidth="1"/>
    <col min="2048" max="2048" width="10.7109375" style="2" customWidth="1"/>
    <col min="2049" max="2049" width="11" style="2" customWidth="1"/>
    <col min="2050" max="2050" width="11.85546875" style="2" customWidth="1"/>
    <col min="2051" max="2051" width="12.85546875" style="2" customWidth="1"/>
    <col min="2052" max="2052" width="11" style="2" customWidth="1"/>
    <col min="2053" max="2053" width="11.85546875" style="2" customWidth="1"/>
    <col min="2054" max="2291" width="9.140625" style="2"/>
    <col min="2292" max="2292" width="26.5703125" style="2" customWidth="1"/>
    <col min="2293" max="2293" width="13.42578125" style="2" customWidth="1"/>
    <col min="2294" max="2294" width="12.28515625" style="2" customWidth="1"/>
    <col min="2295" max="2296" width="12.85546875" style="2" customWidth="1"/>
    <col min="2297" max="2297" width="10.5703125" style="2" customWidth="1"/>
    <col min="2298" max="2299" width="10.42578125" style="2" customWidth="1"/>
    <col min="2300" max="2300" width="12.42578125" style="2" customWidth="1"/>
    <col min="2301" max="2301" width="10" style="2" customWidth="1"/>
    <col min="2302" max="2302" width="10.28515625" style="2" customWidth="1"/>
    <col min="2303" max="2303" width="11.28515625" style="2" customWidth="1"/>
    <col min="2304" max="2304" width="10.7109375" style="2" customWidth="1"/>
    <col min="2305" max="2305" width="11" style="2" customWidth="1"/>
    <col min="2306" max="2306" width="11.85546875" style="2" customWidth="1"/>
    <col min="2307" max="2307" width="12.85546875" style="2" customWidth="1"/>
    <col min="2308" max="2308" width="11" style="2" customWidth="1"/>
    <col min="2309" max="2309" width="11.85546875" style="2" customWidth="1"/>
    <col min="2310" max="2547" width="9.140625" style="2"/>
    <col min="2548" max="2548" width="26.5703125" style="2" customWidth="1"/>
    <col min="2549" max="2549" width="13.42578125" style="2" customWidth="1"/>
    <col min="2550" max="2550" width="12.28515625" style="2" customWidth="1"/>
    <col min="2551" max="2552" width="12.85546875" style="2" customWidth="1"/>
    <col min="2553" max="2553" width="10.5703125" style="2" customWidth="1"/>
    <col min="2554" max="2555" width="10.42578125" style="2" customWidth="1"/>
    <col min="2556" max="2556" width="12.42578125" style="2" customWidth="1"/>
    <col min="2557" max="2557" width="10" style="2" customWidth="1"/>
    <col min="2558" max="2558" width="10.28515625" style="2" customWidth="1"/>
    <col min="2559" max="2559" width="11.28515625" style="2" customWidth="1"/>
    <col min="2560" max="2560" width="10.7109375" style="2" customWidth="1"/>
    <col min="2561" max="2561" width="11" style="2" customWidth="1"/>
    <col min="2562" max="2562" width="11.85546875" style="2" customWidth="1"/>
    <col min="2563" max="2563" width="12.85546875" style="2" customWidth="1"/>
    <col min="2564" max="2564" width="11" style="2" customWidth="1"/>
    <col min="2565" max="2565" width="11.85546875" style="2" customWidth="1"/>
    <col min="2566" max="2803" width="9.140625" style="2"/>
    <col min="2804" max="2804" width="26.5703125" style="2" customWidth="1"/>
    <col min="2805" max="2805" width="13.42578125" style="2" customWidth="1"/>
    <col min="2806" max="2806" width="12.28515625" style="2" customWidth="1"/>
    <col min="2807" max="2808" width="12.85546875" style="2" customWidth="1"/>
    <col min="2809" max="2809" width="10.5703125" style="2" customWidth="1"/>
    <col min="2810" max="2811" width="10.42578125" style="2" customWidth="1"/>
    <col min="2812" max="2812" width="12.42578125" style="2" customWidth="1"/>
    <col min="2813" max="2813" width="10" style="2" customWidth="1"/>
    <col min="2814" max="2814" width="10.28515625" style="2" customWidth="1"/>
    <col min="2815" max="2815" width="11.28515625" style="2" customWidth="1"/>
    <col min="2816" max="2816" width="10.7109375" style="2" customWidth="1"/>
    <col min="2817" max="2817" width="11" style="2" customWidth="1"/>
    <col min="2818" max="2818" width="11.85546875" style="2" customWidth="1"/>
    <col min="2819" max="2819" width="12.85546875" style="2" customWidth="1"/>
    <col min="2820" max="2820" width="11" style="2" customWidth="1"/>
    <col min="2821" max="2821" width="11.85546875" style="2" customWidth="1"/>
    <col min="2822" max="3059" width="9.140625" style="2"/>
    <col min="3060" max="3060" width="26.5703125" style="2" customWidth="1"/>
    <col min="3061" max="3061" width="13.42578125" style="2" customWidth="1"/>
    <col min="3062" max="3062" width="12.28515625" style="2" customWidth="1"/>
    <col min="3063" max="3064" width="12.85546875" style="2" customWidth="1"/>
    <col min="3065" max="3065" width="10.5703125" style="2" customWidth="1"/>
    <col min="3066" max="3067" width="10.42578125" style="2" customWidth="1"/>
    <col min="3068" max="3068" width="12.42578125" style="2" customWidth="1"/>
    <col min="3069" max="3069" width="10" style="2" customWidth="1"/>
    <col min="3070" max="3070" width="10.28515625" style="2" customWidth="1"/>
    <col min="3071" max="3071" width="11.28515625" style="2" customWidth="1"/>
    <col min="3072" max="3072" width="10.7109375" style="2" customWidth="1"/>
    <col min="3073" max="3073" width="11" style="2" customWidth="1"/>
    <col min="3074" max="3074" width="11.85546875" style="2" customWidth="1"/>
    <col min="3075" max="3075" width="12.85546875" style="2" customWidth="1"/>
    <col min="3076" max="3076" width="11" style="2" customWidth="1"/>
    <col min="3077" max="3077" width="11.85546875" style="2" customWidth="1"/>
    <col min="3078" max="3315" width="9.140625" style="2"/>
    <col min="3316" max="3316" width="26.5703125" style="2" customWidth="1"/>
    <col min="3317" max="3317" width="13.42578125" style="2" customWidth="1"/>
    <col min="3318" max="3318" width="12.28515625" style="2" customWidth="1"/>
    <col min="3319" max="3320" width="12.85546875" style="2" customWidth="1"/>
    <col min="3321" max="3321" width="10.5703125" style="2" customWidth="1"/>
    <col min="3322" max="3323" width="10.42578125" style="2" customWidth="1"/>
    <col min="3324" max="3324" width="12.42578125" style="2" customWidth="1"/>
    <col min="3325" max="3325" width="10" style="2" customWidth="1"/>
    <col min="3326" max="3326" width="10.28515625" style="2" customWidth="1"/>
    <col min="3327" max="3327" width="11.28515625" style="2" customWidth="1"/>
    <col min="3328" max="3328" width="10.7109375" style="2" customWidth="1"/>
    <col min="3329" max="3329" width="11" style="2" customWidth="1"/>
    <col min="3330" max="3330" width="11.85546875" style="2" customWidth="1"/>
    <col min="3331" max="3331" width="12.85546875" style="2" customWidth="1"/>
    <col min="3332" max="3332" width="11" style="2" customWidth="1"/>
    <col min="3333" max="3333" width="11.85546875" style="2" customWidth="1"/>
    <col min="3334" max="3571" width="9.140625" style="2"/>
    <col min="3572" max="3572" width="26.5703125" style="2" customWidth="1"/>
    <col min="3573" max="3573" width="13.42578125" style="2" customWidth="1"/>
    <col min="3574" max="3574" width="12.28515625" style="2" customWidth="1"/>
    <col min="3575" max="3576" width="12.85546875" style="2" customWidth="1"/>
    <col min="3577" max="3577" width="10.5703125" style="2" customWidth="1"/>
    <col min="3578" max="3579" width="10.42578125" style="2" customWidth="1"/>
    <col min="3580" max="3580" width="12.42578125" style="2" customWidth="1"/>
    <col min="3581" max="3581" width="10" style="2" customWidth="1"/>
    <col min="3582" max="3582" width="10.28515625" style="2" customWidth="1"/>
    <col min="3583" max="3583" width="11.28515625" style="2" customWidth="1"/>
    <col min="3584" max="3584" width="10.7109375" style="2" customWidth="1"/>
    <col min="3585" max="3585" width="11" style="2" customWidth="1"/>
    <col min="3586" max="3586" width="11.85546875" style="2" customWidth="1"/>
    <col min="3587" max="3587" width="12.85546875" style="2" customWidth="1"/>
    <col min="3588" max="3588" width="11" style="2" customWidth="1"/>
    <col min="3589" max="3589" width="11.85546875" style="2" customWidth="1"/>
    <col min="3590" max="3827" width="9.140625" style="2"/>
    <col min="3828" max="3828" width="26.5703125" style="2" customWidth="1"/>
    <col min="3829" max="3829" width="13.42578125" style="2" customWidth="1"/>
    <col min="3830" max="3830" width="12.28515625" style="2" customWidth="1"/>
    <col min="3831" max="3832" width="12.85546875" style="2" customWidth="1"/>
    <col min="3833" max="3833" width="10.5703125" style="2" customWidth="1"/>
    <col min="3834" max="3835" width="10.42578125" style="2" customWidth="1"/>
    <col min="3836" max="3836" width="12.42578125" style="2" customWidth="1"/>
    <col min="3837" max="3837" width="10" style="2" customWidth="1"/>
    <col min="3838" max="3838" width="10.28515625" style="2" customWidth="1"/>
    <col min="3839" max="3839" width="11.28515625" style="2" customWidth="1"/>
    <col min="3840" max="3840" width="10.7109375" style="2" customWidth="1"/>
    <col min="3841" max="3841" width="11" style="2" customWidth="1"/>
    <col min="3842" max="3842" width="11.85546875" style="2" customWidth="1"/>
    <col min="3843" max="3843" width="12.85546875" style="2" customWidth="1"/>
    <col min="3844" max="3844" width="11" style="2" customWidth="1"/>
    <col min="3845" max="3845" width="11.85546875" style="2" customWidth="1"/>
    <col min="3846" max="4083" width="9.140625" style="2"/>
    <col min="4084" max="4084" width="26.5703125" style="2" customWidth="1"/>
    <col min="4085" max="4085" width="13.42578125" style="2" customWidth="1"/>
    <col min="4086" max="4086" width="12.28515625" style="2" customWidth="1"/>
    <col min="4087" max="4088" width="12.85546875" style="2" customWidth="1"/>
    <col min="4089" max="4089" width="10.5703125" style="2" customWidth="1"/>
    <col min="4090" max="4091" width="10.42578125" style="2" customWidth="1"/>
    <col min="4092" max="4092" width="12.42578125" style="2" customWidth="1"/>
    <col min="4093" max="4093" width="10" style="2" customWidth="1"/>
    <col min="4094" max="4094" width="10.28515625" style="2" customWidth="1"/>
    <col min="4095" max="4095" width="11.28515625" style="2" customWidth="1"/>
    <col min="4096" max="4096" width="10.7109375" style="2" customWidth="1"/>
    <col min="4097" max="4097" width="11" style="2" customWidth="1"/>
    <col min="4098" max="4098" width="11.85546875" style="2" customWidth="1"/>
    <col min="4099" max="4099" width="12.85546875" style="2" customWidth="1"/>
    <col min="4100" max="4100" width="11" style="2" customWidth="1"/>
    <col min="4101" max="4101" width="11.85546875" style="2" customWidth="1"/>
    <col min="4102" max="4339" width="9.140625" style="2"/>
    <col min="4340" max="4340" width="26.5703125" style="2" customWidth="1"/>
    <col min="4341" max="4341" width="13.42578125" style="2" customWidth="1"/>
    <col min="4342" max="4342" width="12.28515625" style="2" customWidth="1"/>
    <col min="4343" max="4344" width="12.85546875" style="2" customWidth="1"/>
    <col min="4345" max="4345" width="10.5703125" style="2" customWidth="1"/>
    <col min="4346" max="4347" width="10.42578125" style="2" customWidth="1"/>
    <col min="4348" max="4348" width="12.42578125" style="2" customWidth="1"/>
    <col min="4349" max="4349" width="10" style="2" customWidth="1"/>
    <col min="4350" max="4350" width="10.28515625" style="2" customWidth="1"/>
    <col min="4351" max="4351" width="11.28515625" style="2" customWidth="1"/>
    <col min="4352" max="4352" width="10.7109375" style="2" customWidth="1"/>
    <col min="4353" max="4353" width="11" style="2" customWidth="1"/>
    <col min="4354" max="4354" width="11.85546875" style="2" customWidth="1"/>
    <col min="4355" max="4355" width="12.85546875" style="2" customWidth="1"/>
    <col min="4356" max="4356" width="11" style="2" customWidth="1"/>
    <col min="4357" max="4357" width="11.85546875" style="2" customWidth="1"/>
    <col min="4358" max="4595" width="9.140625" style="2"/>
    <col min="4596" max="4596" width="26.5703125" style="2" customWidth="1"/>
    <col min="4597" max="4597" width="13.42578125" style="2" customWidth="1"/>
    <col min="4598" max="4598" width="12.28515625" style="2" customWidth="1"/>
    <col min="4599" max="4600" width="12.85546875" style="2" customWidth="1"/>
    <col min="4601" max="4601" width="10.5703125" style="2" customWidth="1"/>
    <col min="4602" max="4603" width="10.42578125" style="2" customWidth="1"/>
    <col min="4604" max="4604" width="12.42578125" style="2" customWidth="1"/>
    <col min="4605" max="4605" width="10" style="2" customWidth="1"/>
    <col min="4606" max="4606" width="10.28515625" style="2" customWidth="1"/>
    <col min="4607" max="4607" width="11.28515625" style="2" customWidth="1"/>
    <col min="4608" max="4608" width="10.7109375" style="2" customWidth="1"/>
    <col min="4609" max="4609" width="11" style="2" customWidth="1"/>
    <col min="4610" max="4610" width="11.85546875" style="2" customWidth="1"/>
    <col min="4611" max="4611" width="12.85546875" style="2" customWidth="1"/>
    <col min="4612" max="4612" width="11" style="2" customWidth="1"/>
    <col min="4613" max="4613" width="11.85546875" style="2" customWidth="1"/>
    <col min="4614" max="4851" width="9.140625" style="2"/>
    <col min="4852" max="4852" width="26.5703125" style="2" customWidth="1"/>
    <col min="4853" max="4853" width="13.42578125" style="2" customWidth="1"/>
    <col min="4854" max="4854" width="12.28515625" style="2" customWidth="1"/>
    <col min="4855" max="4856" width="12.85546875" style="2" customWidth="1"/>
    <col min="4857" max="4857" width="10.5703125" style="2" customWidth="1"/>
    <col min="4858" max="4859" width="10.42578125" style="2" customWidth="1"/>
    <col min="4860" max="4860" width="12.42578125" style="2" customWidth="1"/>
    <col min="4861" max="4861" width="10" style="2" customWidth="1"/>
    <col min="4862" max="4862" width="10.28515625" style="2" customWidth="1"/>
    <col min="4863" max="4863" width="11.28515625" style="2" customWidth="1"/>
    <col min="4864" max="4864" width="10.7109375" style="2" customWidth="1"/>
    <col min="4865" max="4865" width="11" style="2" customWidth="1"/>
    <col min="4866" max="4866" width="11.85546875" style="2" customWidth="1"/>
    <col min="4867" max="4867" width="12.85546875" style="2" customWidth="1"/>
    <col min="4868" max="4868" width="11" style="2" customWidth="1"/>
    <col min="4869" max="4869" width="11.85546875" style="2" customWidth="1"/>
    <col min="4870" max="5107" width="9.140625" style="2"/>
    <col min="5108" max="5108" width="26.5703125" style="2" customWidth="1"/>
    <col min="5109" max="5109" width="13.42578125" style="2" customWidth="1"/>
    <col min="5110" max="5110" width="12.28515625" style="2" customWidth="1"/>
    <col min="5111" max="5112" width="12.85546875" style="2" customWidth="1"/>
    <col min="5113" max="5113" width="10.5703125" style="2" customWidth="1"/>
    <col min="5114" max="5115" width="10.42578125" style="2" customWidth="1"/>
    <col min="5116" max="5116" width="12.42578125" style="2" customWidth="1"/>
    <col min="5117" max="5117" width="10" style="2" customWidth="1"/>
    <col min="5118" max="5118" width="10.28515625" style="2" customWidth="1"/>
    <col min="5119" max="5119" width="11.28515625" style="2" customWidth="1"/>
    <col min="5120" max="5120" width="10.7109375" style="2" customWidth="1"/>
    <col min="5121" max="5121" width="11" style="2" customWidth="1"/>
    <col min="5122" max="5122" width="11.85546875" style="2" customWidth="1"/>
    <col min="5123" max="5123" width="12.85546875" style="2" customWidth="1"/>
    <col min="5124" max="5124" width="11" style="2" customWidth="1"/>
    <col min="5125" max="5125" width="11.85546875" style="2" customWidth="1"/>
    <col min="5126" max="5363" width="9.140625" style="2"/>
    <col min="5364" max="5364" width="26.5703125" style="2" customWidth="1"/>
    <col min="5365" max="5365" width="13.42578125" style="2" customWidth="1"/>
    <col min="5366" max="5366" width="12.28515625" style="2" customWidth="1"/>
    <col min="5367" max="5368" width="12.85546875" style="2" customWidth="1"/>
    <col min="5369" max="5369" width="10.5703125" style="2" customWidth="1"/>
    <col min="5370" max="5371" width="10.42578125" style="2" customWidth="1"/>
    <col min="5372" max="5372" width="12.42578125" style="2" customWidth="1"/>
    <col min="5373" max="5373" width="10" style="2" customWidth="1"/>
    <col min="5374" max="5374" width="10.28515625" style="2" customWidth="1"/>
    <col min="5375" max="5375" width="11.28515625" style="2" customWidth="1"/>
    <col min="5376" max="5376" width="10.7109375" style="2" customWidth="1"/>
    <col min="5377" max="5377" width="11" style="2" customWidth="1"/>
    <col min="5378" max="5378" width="11.85546875" style="2" customWidth="1"/>
    <col min="5379" max="5379" width="12.85546875" style="2" customWidth="1"/>
    <col min="5380" max="5380" width="11" style="2" customWidth="1"/>
    <col min="5381" max="5381" width="11.85546875" style="2" customWidth="1"/>
    <col min="5382" max="5619" width="9.140625" style="2"/>
    <col min="5620" max="5620" width="26.5703125" style="2" customWidth="1"/>
    <col min="5621" max="5621" width="13.42578125" style="2" customWidth="1"/>
    <col min="5622" max="5622" width="12.28515625" style="2" customWidth="1"/>
    <col min="5623" max="5624" width="12.85546875" style="2" customWidth="1"/>
    <col min="5625" max="5625" width="10.5703125" style="2" customWidth="1"/>
    <col min="5626" max="5627" width="10.42578125" style="2" customWidth="1"/>
    <col min="5628" max="5628" width="12.42578125" style="2" customWidth="1"/>
    <col min="5629" max="5629" width="10" style="2" customWidth="1"/>
    <col min="5630" max="5630" width="10.28515625" style="2" customWidth="1"/>
    <col min="5631" max="5631" width="11.28515625" style="2" customWidth="1"/>
    <col min="5632" max="5632" width="10.7109375" style="2" customWidth="1"/>
    <col min="5633" max="5633" width="11" style="2" customWidth="1"/>
    <col min="5634" max="5634" width="11.85546875" style="2" customWidth="1"/>
    <col min="5635" max="5635" width="12.85546875" style="2" customWidth="1"/>
    <col min="5636" max="5636" width="11" style="2" customWidth="1"/>
    <col min="5637" max="5637" width="11.85546875" style="2" customWidth="1"/>
    <col min="5638" max="5875" width="9.140625" style="2"/>
    <col min="5876" max="5876" width="26.5703125" style="2" customWidth="1"/>
    <col min="5877" max="5877" width="13.42578125" style="2" customWidth="1"/>
    <col min="5878" max="5878" width="12.28515625" style="2" customWidth="1"/>
    <col min="5879" max="5880" width="12.85546875" style="2" customWidth="1"/>
    <col min="5881" max="5881" width="10.5703125" style="2" customWidth="1"/>
    <col min="5882" max="5883" width="10.42578125" style="2" customWidth="1"/>
    <col min="5884" max="5884" width="12.42578125" style="2" customWidth="1"/>
    <col min="5885" max="5885" width="10" style="2" customWidth="1"/>
    <col min="5886" max="5886" width="10.28515625" style="2" customWidth="1"/>
    <col min="5887" max="5887" width="11.28515625" style="2" customWidth="1"/>
    <col min="5888" max="5888" width="10.7109375" style="2" customWidth="1"/>
    <col min="5889" max="5889" width="11" style="2" customWidth="1"/>
    <col min="5890" max="5890" width="11.85546875" style="2" customWidth="1"/>
    <col min="5891" max="5891" width="12.85546875" style="2" customWidth="1"/>
    <col min="5892" max="5892" width="11" style="2" customWidth="1"/>
    <col min="5893" max="5893" width="11.85546875" style="2" customWidth="1"/>
    <col min="5894" max="6131" width="9.140625" style="2"/>
    <col min="6132" max="6132" width="26.5703125" style="2" customWidth="1"/>
    <col min="6133" max="6133" width="13.42578125" style="2" customWidth="1"/>
    <col min="6134" max="6134" width="12.28515625" style="2" customWidth="1"/>
    <col min="6135" max="6136" width="12.85546875" style="2" customWidth="1"/>
    <col min="6137" max="6137" width="10.5703125" style="2" customWidth="1"/>
    <col min="6138" max="6139" width="10.42578125" style="2" customWidth="1"/>
    <col min="6140" max="6140" width="12.42578125" style="2" customWidth="1"/>
    <col min="6141" max="6141" width="10" style="2" customWidth="1"/>
    <col min="6142" max="6142" width="10.28515625" style="2" customWidth="1"/>
    <col min="6143" max="6143" width="11.28515625" style="2" customWidth="1"/>
    <col min="6144" max="6144" width="10.7109375" style="2" customWidth="1"/>
    <col min="6145" max="6145" width="11" style="2" customWidth="1"/>
    <col min="6146" max="6146" width="11.85546875" style="2" customWidth="1"/>
    <col min="6147" max="6147" width="12.85546875" style="2" customWidth="1"/>
    <col min="6148" max="6148" width="11" style="2" customWidth="1"/>
    <col min="6149" max="6149" width="11.85546875" style="2" customWidth="1"/>
    <col min="6150" max="6387" width="9.140625" style="2"/>
    <col min="6388" max="6388" width="26.5703125" style="2" customWidth="1"/>
    <col min="6389" max="6389" width="13.42578125" style="2" customWidth="1"/>
    <col min="6390" max="6390" width="12.28515625" style="2" customWidth="1"/>
    <col min="6391" max="6392" width="12.85546875" style="2" customWidth="1"/>
    <col min="6393" max="6393" width="10.5703125" style="2" customWidth="1"/>
    <col min="6394" max="6395" width="10.42578125" style="2" customWidth="1"/>
    <col min="6396" max="6396" width="12.42578125" style="2" customWidth="1"/>
    <col min="6397" max="6397" width="10" style="2" customWidth="1"/>
    <col min="6398" max="6398" width="10.28515625" style="2" customWidth="1"/>
    <col min="6399" max="6399" width="11.28515625" style="2" customWidth="1"/>
    <col min="6400" max="6400" width="10.7109375" style="2" customWidth="1"/>
    <col min="6401" max="6401" width="11" style="2" customWidth="1"/>
    <col min="6402" max="6402" width="11.85546875" style="2" customWidth="1"/>
    <col min="6403" max="6403" width="12.85546875" style="2" customWidth="1"/>
    <col min="6404" max="6404" width="11" style="2" customWidth="1"/>
    <col min="6405" max="6405" width="11.85546875" style="2" customWidth="1"/>
    <col min="6406" max="6643" width="9.140625" style="2"/>
    <col min="6644" max="6644" width="26.5703125" style="2" customWidth="1"/>
    <col min="6645" max="6645" width="13.42578125" style="2" customWidth="1"/>
    <col min="6646" max="6646" width="12.28515625" style="2" customWidth="1"/>
    <col min="6647" max="6648" width="12.85546875" style="2" customWidth="1"/>
    <col min="6649" max="6649" width="10.5703125" style="2" customWidth="1"/>
    <col min="6650" max="6651" width="10.42578125" style="2" customWidth="1"/>
    <col min="6652" max="6652" width="12.42578125" style="2" customWidth="1"/>
    <col min="6653" max="6653" width="10" style="2" customWidth="1"/>
    <col min="6654" max="6654" width="10.28515625" style="2" customWidth="1"/>
    <col min="6655" max="6655" width="11.28515625" style="2" customWidth="1"/>
    <col min="6656" max="6656" width="10.7109375" style="2" customWidth="1"/>
    <col min="6657" max="6657" width="11" style="2" customWidth="1"/>
    <col min="6658" max="6658" width="11.85546875" style="2" customWidth="1"/>
    <col min="6659" max="6659" width="12.85546875" style="2" customWidth="1"/>
    <col min="6660" max="6660" width="11" style="2" customWidth="1"/>
    <col min="6661" max="6661" width="11.85546875" style="2" customWidth="1"/>
    <col min="6662" max="6899" width="9.140625" style="2"/>
    <col min="6900" max="6900" width="26.5703125" style="2" customWidth="1"/>
    <col min="6901" max="6901" width="13.42578125" style="2" customWidth="1"/>
    <col min="6902" max="6902" width="12.28515625" style="2" customWidth="1"/>
    <col min="6903" max="6904" width="12.85546875" style="2" customWidth="1"/>
    <col min="6905" max="6905" width="10.5703125" style="2" customWidth="1"/>
    <col min="6906" max="6907" width="10.42578125" style="2" customWidth="1"/>
    <col min="6908" max="6908" width="12.42578125" style="2" customWidth="1"/>
    <col min="6909" max="6909" width="10" style="2" customWidth="1"/>
    <col min="6910" max="6910" width="10.28515625" style="2" customWidth="1"/>
    <col min="6911" max="6911" width="11.28515625" style="2" customWidth="1"/>
    <col min="6912" max="6912" width="10.7109375" style="2" customWidth="1"/>
    <col min="6913" max="6913" width="11" style="2" customWidth="1"/>
    <col min="6914" max="6914" width="11.85546875" style="2" customWidth="1"/>
    <col min="6915" max="6915" width="12.85546875" style="2" customWidth="1"/>
    <col min="6916" max="6916" width="11" style="2" customWidth="1"/>
    <col min="6917" max="6917" width="11.85546875" style="2" customWidth="1"/>
    <col min="6918" max="7155" width="9.140625" style="2"/>
    <col min="7156" max="7156" width="26.5703125" style="2" customWidth="1"/>
    <col min="7157" max="7157" width="13.42578125" style="2" customWidth="1"/>
    <col min="7158" max="7158" width="12.28515625" style="2" customWidth="1"/>
    <col min="7159" max="7160" width="12.85546875" style="2" customWidth="1"/>
    <col min="7161" max="7161" width="10.5703125" style="2" customWidth="1"/>
    <col min="7162" max="7163" width="10.42578125" style="2" customWidth="1"/>
    <col min="7164" max="7164" width="12.42578125" style="2" customWidth="1"/>
    <col min="7165" max="7165" width="10" style="2" customWidth="1"/>
    <col min="7166" max="7166" width="10.28515625" style="2" customWidth="1"/>
    <col min="7167" max="7167" width="11.28515625" style="2" customWidth="1"/>
    <col min="7168" max="7168" width="10.7109375" style="2" customWidth="1"/>
    <col min="7169" max="7169" width="11" style="2" customWidth="1"/>
    <col min="7170" max="7170" width="11.85546875" style="2" customWidth="1"/>
    <col min="7171" max="7171" width="12.85546875" style="2" customWidth="1"/>
    <col min="7172" max="7172" width="11" style="2" customWidth="1"/>
    <col min="7173" max="7173" width="11.85546875" style="2" customWidth="1"/>
    <col min="7174" max="7411" width="9.140625" style="2"/>
    <col min="7412" max="7412" width="26.5703125" style="2" customWidth="1"/>
    <col min="7413" max="7413" width="13.42578125" style="2" customWidth="1"/>
    <col min="7414" max="7414" width="12.28515625" style="2" customWidth="1"/>
    <col min="7415" max="7416" width="12.85546875" style="2" customWidth="1"/>
    <col min="7417" max="7417" width="10.5703125" style="2" customWidth="1"/>
    <col min="7418" max="7419" width="10.42578125" style="2" customWidth="1"/>
    <col min="7420" max="7420" width="12.42578125" style="2" customWidth="1"/>
    <col min="7421" max="7421" width="10" style="2" customWidth="1"/>
    <col min="7422" max="7422" width="10.28515625" style="2" customWidth="1"/>
    <col min="7423" max="7423" width="11.28515625" style="2" customWidth="1"/>
    <col min="7424" max="7424" width="10.7109375" style="2" customWidth="1"/>
    <col min="7425" max="7425" width="11" style="2" customWidth="1"/>
    <col min="7426" max="7426" width="11.85546875" style="2" customWidth="1"/>
    <col min="7427" max="7427" width="12.85546875" style="2" customWidth="1"/>
    <col min="7428" max="7428" width="11" style="2" customWidth="1"/>
    <col min="7429" max="7429" width="11.85546875" style="2" customWidth="1"/>
    <col min="7430" max="7667" width="9.140625" style="2"/>
    <col min="7668" max="7668" width="26.5703125" style="2" customWidth="1"/>
    <col min="7669" max="7669" width="13.42578125" style="2" customWidth="1"/>
    <col min="7670" max="7670" width="12.28515625" style="2" customWidth="1"/>
    <col min="7671" max="7672" width="12.85546875" style="2" customWidth="1"/>
    <col min="7673" max="7673" width="10.5703125" style="2" customWidth="1"/>
    <col min="7674" max="7675" width="10.42578125" style="2" customWidth="1"/>
    <col min="7676" max="7676" width="12.42578125" style="2" customWidth="1"/>
    <col min="7677" max="7677" width="10" style="2" customWidth="1"/>
    <col min="7678" max="7678" width="10.28515625" style="2" customWidth="1"/>
    <col min="7679" max="7679" width="11.28515625" style="2" customWidth="1"/>
    <col min="7680" max="7680" width="10.7109375" style="2" customWidth="1"/>
    <col min="7681" max="7681" width="11" style="2" customWidth="1"/>
    <col min="7682" max="7682" width="11.85546875" style="2" customWidth="1"/>
    <col min="7683" max="7683" width="12.85546875" style="2" customWidth="1"/>
    <col min="7684" max="7684" width="11" style="2" customWidth="1"/>
    <col min="7685" max="7685" width="11.85546875" style="2" customWidth="1"/>
    <col min="7686" max="7923" width="9.140625" style="2"/>
    <col min="7924" max="7924" width="26.5703125" style="2" customWidth="1"/>
    <col min="7925" max="7925" width="13.42578125" style="2" customWidth="1"/>
    <col min="7926" max="7926" width="12.28515625" style="2" customWidth="1"/>
    <col min="7927" max="7928" width="12.85546875" style="2" customWidth="1"/>
    <col min="7929" max="7929" width="10.5703125" style="2" customWidth="1"/>
    <col min="7930" max="7931" width="10.42578125" style="2" customWidth="1"/>
    <col min="7932" max="7932" width="12.42578125" style="2" customWidth="1"/>
    <col min="7933" max="7933" width="10" style="2" customWidth="1"/>
    <col min="7934" max="7934" width="10.28515625" style="2" customWidth="1"/>
    <col min="7935" max="7935" width="11.28515625" style="2" customWidth="1"/>
    <col min="7936" max="7936" width="10.7109375" style="2" customWidth="1"/>
    <col min="7937" max="7937" width="11" style="2" customWidth="1"/>
    <col min="7938" max="7938" width="11.85546875" style="2" customWidth="1"/>
    <col min="7939" max="7939" width="12.85546875" style="2" customWidth="1"/>
    <col min="7940" max="7940" width="11" style="2" customWidth="1"/>
    <col min="7941" max="7941" width="11.85546875" style="2" customWidth="1"/>
    <col min="7942" max="8179" width="9.140625" style="2"/>
    <col min="8180" max="8180" width="26.5703125" style="2" customWidth="1"/>
    <col min="8181" max="8181" width="13.42578125" style="2" customWidth="1"/>
    <col min="8182" max="8182" width="12.28515625" style="2" customWidth="1"/>
    <col min="8183" max="8184" width="12.85546875" style="2" customWidth="1"/>
    <col min="8185" max="8185" width="10.5703125" style="2" customWidth="1"/>
    <col min="8186" max="8187" width="10.42578125" style="2" customWidth="1"/>
    <col min="8188" max="8188" width="12.42578125" style="2" customWidth="1"/>
    <col min="8189" max="8189" width="10" style="2" customWidth="1"/>
    <col min="8190" max="8190" width="10.28515625" style="2" customWidth="1"/>
    <col min="8191" max="8191" width="11.28515625" style="2" customWidth="1"/>
    <col min="8192" max="8192" width="10.7109375" style="2" customWidth="1"/>
    <col min="8193" max="8193" width="11" style="2" customWidth="1"/>
    <col min="8194" max="8194" width="11.85546875" style="2" customWidth="1"/>
    <col min="8195" max="8195" width="12.85546875" style="2" customWidth="1"/>
    <col min="8196" max="8196" width="11" style="2" customWidth="1"/>
    <col min="8197" max="8197" width="11.85546875" style="2" customWidth="1"/>
    <col min="8198" max="8435" width="9.140625" style="2"/>
    <col min="8436" max="8436" width="26.5703125" style="2" customWidth="1"/>
    <col min="8437" max="8437" width="13.42578125" style="2" customWidth="1"/>
    <col min="8438" max="8438" width="12.28515625" style="2" customWidth="1"/>
    <col min="8439" max="8440" width="12.85546875" style="2" customWidth="1"/>
    <col min="8441" max="8441" width="10.5703125" style="2" customWidth="1"/>
    <col min="8442" max="8443" width="10.42578125" style="2" customWidth="1"/>
    <col min="8444" max="8444" width="12.42578125" style="2" customWidth="1"/>
    <col min="8445" max="8445" width="10" style="2" customWidth="1"/>
    <col min="8446" max="8446" width="10.28515625" style="2" customWidth="1"/>
    <col min="8447" max="8447" width="11.28515625" style="2" customWidth="1"/>
    <col min="8448" max="8448" width="10.7109375" style="2" customWidth="1"/>
    <col min="8449" max="8449" width="11" style="2" customWidth="1"/>
    <col min="8450" max="8450" width="11.85546875" style="2" customWidth="1"/>
    <col min="8451" max="8451" width="12.85546875" style="2" customWidth="1"/>
    <col min="8452" max="8452" width="11" style="2" customWidth="1"/>
    <col min="8453" max="8453" width="11.85546875" style="2" customWidth="1"/>
    <col min="8454" max="8691" width="9.140625" style="2"/>
    <col min="8692" max="8692" width="26.5703125" style="2" customWidth="1"/>
    <col min="8693" max="8693" width="13.42578125" style="2" customWidth="1"/>
    <col min="8694" max="8694" width="12.28515625" style="2" customWidth="1"/>
    <col min="8695" max="8696" width="12.85546875" style="2" customWidth="1"/>
    <col min="8697" max="8697" width="10.5703125" style="2" customWidth="1"/>
    <col min="8698" max="8699" width="10.42578125" style="2" customWidth="1"/>
    <col min="8700" max="8700" width="12.42578125" style="2" customWidth="1"/>
    <col min="8701" max="8701" width="10" style="2" customWidth="1"/>
    <col min="8702" max="8702" width="10.28515625" style="2" customWidth="1"/>
    <col min="8703" max="8703" width="11.28515625" style="2" customWidth="1"/>
    <col min="8704" max="8704" width="10.7109375" style="2" customWidth="1"/>
    <col min="8705" max="8705" width="11" style="2" customWidth="1"/>
    <col min="8706" max="8706" width="11.85546875" style="2" customWidth="1"/>
    <col min="8707" max="8707" width="12.85546875" style="2" customWidth="1"/>
    <col min="8708" max="8708" width="11" style="2" customWidth="1"/>
    <col min="8709" max="8709" width="11.85546875" style="2" customWidth="1"/>
    <col min="8710" max="8947" width="9.140625" style="2"/>
    <col min="8948" max="8948" width="26.5703125" style="2" customWidth="1"/>
    <col min="8949" max="8949" width="13.42578125" style="2" customWidth="1"/>
    <col min="8950" max="8950" width="12.28515625" style="2" customWidth="1"/>
    <col min="8951" max="8952" width="12.85546875" style="2" customWidth="1"/>
    <col min="8953" max="8953" width="10.5703125" style="2" customWidth="1"/>
    <col min="8954" max="8955" width="10.42578125" style="2" customWidth="1"/>
    <col min="8956" max="8956" width="12.42578125" style="2" customWidth="1"/>
    <col min="8957" max="8957" width="10" style="2" customWidth="1"/>
    <col min="8958" max="8958" width="10.28515625" style="2" customWidth="1"/>
    <col min="8959" max="8959" width="11.28515625" style="2" customWidth="1"/>
    <col min="8960" max="8960" width="10.7109375" style="2" customWidth="1"/>
    <col min="8961" max="8961" width="11" style="2" customWidth="1"/>
    <col min="8962" max="8962" width="11.85546875" style="2" customWidth="1"/>
    <col min="8963" max="8963" width="12.85546875" style="2" customWidth="1"/>
    <col min="8964" max="8964" width="11" style="2" customWidth="1"/>
    <col min="8965" max="8965" width="11.85546875" style="2" customWidth="1"/>
    <col min="8966" max="9203" width="9.140625" style="2"/>
    <col min="9204" max="9204" width="26.5703125" style="2" customWidth="1"/>
    <col min="9205" max="9205" width="13.42578125" style="2" customWidth="1"/>
    <col min="9206" max="9206" width="12.28515625" style="2" customWidth="1"/>
    <col min="9207" max="9208" width="12.85546875" style="2" customWidth="1"/>
    <col min="9209" max="9209" width="10.5703125" style="2" customWidth="1"/>
    <col min="9210" max="9211" width="10.42578125" style="2" customWidth="1"/>
    <col min="9212" max="9212" width="12.42578125" style="2" customWidth="1"/>
    <col min="9213" max="9213" width="10" style="2" customWidth="1"/>
    <col min="9214" max="9214" width="10.28515625" style="2" customWidth="1"/>
    <col min="9215" max="9215" width="11.28515625" style="2" customWidth="1"/>
    <col min="9216" max="9216" width="10.7109375" style="2" customWidth="1"/>
    <col min="9217" max="9217" width="11" style="2" customWidth="1"/>
    <col min="9218" max="9218" width="11.85546875" style="2" customWidth="1"/>
    <col min="9219" max="9219" width="12.85546875" style="2" customWidth="1"/>
    <col min="9220" max="9220" width="11" style="2" customWidth="1"/>
    <col min="9221" max="9221" width="11.85546875" style="2" customWidth="1"/>
    <col min="9222" max="9459" width="9.140625" style="2"/>
    <col min="9460" max="9460" width="26.5703125" style="2" customWidth="1"/>
    <col min="9461" max="9461" width="13.42578125" style="2" customWidth="1"/>
    <col min="9462" max="9462" width="12.28515625" style="2" customWidth="1"/>
    <col min="9463" max="9464" width="12.85546875" style="2" customWidth="1"/>
    <col min="9465" max="9465" width="10.5703125" style="2" customWidth="1"/>
    <col min="9466" max="9467" width="10.42578125" style="2" customWidth="1"/>
    <col min="9468" max="9468" width="12.42578125" style="2" customWidth="1"/>
    <col min="9469" max="9469" width="10" style="2" customWidth="1"/>
    <col min="9470" max="9470" width="10.28515625" style="2" customWidth="1"/>
    <col min="9471" max="9471" width="11.28515625" style="2" customWidth="1"/>
    <col min="9472" max="9472" width="10.7109375" style="2" customWidth="1"/>
    <col min="9473" max="9473" width="11" style="2" customWidth="1"/>
    <col min="9474" max="9474" width="11.85546875" style="2" customWidth="1"/>
    <col min="9475" max="9475" width="12.85546875" style="2" customWidth="1"/>
    <col min="9476" max="9476" width="11" style="2" customWidth="1"/>
    <col min="9477" max="9477" width="11.85546875" style="2" customWidth="1"/>
    <col min="9478" max="9715" width="9.140625" style="2"/>
    <col min="9716" max="9716" width="26.5703125" style="2" customWidth="1"/>
    <col min="9717" max="9717" width="13.42578125" style="2" customWidth="1"/>
    <col min="9718" max="9718" width="12.28515625" style="2" customWidth="1"/>
    <col min="9719" max="9720" width="12.85546875" style="2" customWidth="1"/>
    <col min="9721" max="9721" width="10.5703125" style="2" customWidth="1"/>
    <col min="9722" max="9723" width="10.42578125" style="2" customWidth="1"/>
    <col min="9724" max="9724" width="12.42578125" style="2" customWidth="1"/>
    <col min="9725" max="9725" width="10" style="2" customWidth="1"/>
    <col min="9726" max="9726" width="10.28515625" style="2" customWidth="1"/>
    <col min="9727" max="9727" width="11.28515625" style="2" customWidth="1"/>
    <col min="9728" max="9728" width="10.7109375" style="2" customWidth="1"/>
    <col min="9729" max="9729" width="11" style="2" customWidth="1"/>
    <col min="9730" max="9730" width="11.85546875" style="2" customWidth="1"/>
    <col min="9731" max="9731" width="12.85546875" style="2" customWidth="1"/>
    <col min="9732" max="9732" width="11" style="2" customWidth="1"/>
    <col min="9733" max="9733" width="11.85546875" style="2" customWidth="1"/>
    <col min="9734" max="9971" width="9.140625" style="2"/>
    <col min="9972" max="9972" width="26.5703125" style="2" customWidth="1"/>
    <col min="9973" max="9973" width="13.42578125" style="2" customWidth="1"/>
    <col min="9974" max="9974" width="12.28515625" style="2" customWidth="1"/>
    <col min="9975" max="9976" width="12.85546875" style="2" customWidth="1"/>
    <col min="9977" max="9977" width="10.5703125" style="2" customWidth="1"/>
    <col min="9978" max="9979" width="10.42578125" style="2" customWidth="1"/>
    <col min="9980" max="9980" width="12.42578125" style="2" customWidth="1"/>
    <col min="9981" max="9981" width="10" style="2" customWidth="1"/>
    <col min="9982" max="9982" width="10.28515625" style="2" customWidth="1"/>
    <col min="9983" max="9983" width="11.28515625" style="2" customWidth="1"/>
    <col min="9984" max="9984" width="10.7109375" style="2" customWidth="1"/>
    <col min="9985" max="9985" width="11" style="2" customWidth="1"/>
    <col min="9986" max="9986" width="11.85546875" style="2" customWidth="1"/>
    <col min="9987" max="9987" width="12.85546875" style="2" customWidth="1"/>
    <col min="9988" max="9988" width="11" style="2" customWidth="1"/>
    <col min="9989" max="9989" width="11.85546875" style="2" customWidth="1"/>
    <col min="9990" max="10227" width="9.140625" style="2"/>
    <col min="10228" max="10228" width="26.5703125" style="2" customWidth="1"/>
    <col min="10229" max="10229" width="13.42578125" style="2" customWidth="1"/>
    <col min="10230" max="10230" width="12.28515625" style="2" customWidth="1"/>
    <col min="10231" max="10232" width="12.85546875" style="2" customWidth="1"/>
    <col min="10233" max="10233" width="10.5703125" style="2" customWidth="1"/>
    <col min="10234" max="10235" width="10.42578125" style="2" customWidth="1"/>
    <col min="10236" max="10236" width="12.42578125" style="2" customWidth="1"/>
    <col min="10237" max="10237" width="10" style="2" customWidth="1"/>
    <col min="10238" max="10238" width="10.28515625" style="2" customWidth="1"/>
    <col min="10239" max="10239" width="11.28515625" style="2" customWidth="1"/>
    <col min="10240" max="10240" width="10.7109375" style="2" customWidth="1"/>
    <col min="10241" max="10241" width="11" style="2" customWidth="1"/>
    <col min="10242" max="10242" width="11.85546875" style="2" customWidth="1"/>
    <col min="10243" max="10243" width="12.85546875" style="2" customWidth="1"/>
    <col min="10244" max="10244" width="11" style="2" customWidth="1"/>
    <col min="10245" max="10245" width="11.85546875" style="2" customWidth="1"/>
    <col min="10246" max="10483" width="9.140625" style="2"/>
    <col min="10484" max="10484" width="26.5703125" style="2" customWidth="1"/>
    <col min="10485" max="10485" width="13.42578125" style="2" customWidth="1"/>
    <col min="10486" max="10486" width="12.28515625" style="2" customWidth="1"/>
    <col min="10487" max="10488" width="12.85546875" style="2" customWidth="1"/>
    <col min="10489" max="10489" width="10.5703125" style="2" customWidth="1"/>
    <col min="10490" max="10491" width="10.42578125" style="2" customWidth="1"/>
    <col min="10492" max="10492" width="12.42578125" style="2" customWidth="1"/>
    <col min="10493" max="10493" width="10" style="2" customWidth="1"/>
    <col min="10494" max="10494" width="10.28515625" style="2" customWidth="1"/>
    <col min="10495" max="10495" width="11.28515625" style="2" customWidth="1"/>
    <col min="10496" max="10496" width="10.7109375" style="2" customWidth="1"/>
    <col min="10497" max="10497" width="11" style="2" customWidth="1"/>
    <col min="10498" max="10498" width="11.85546875" style="2" customWidth="1"/>
    <col min="10499" max="10499" width="12.85546875" style="2" customWidth="1"/>
    <col min="10500" max="10500" width="11" style="2" customWidth="1"/>
    <col min="10501" max="10501" width="11.85546875" style="2" customWidth="1"/>
    <col min="10502" max="10739" width="9.140625" style="2"/>
    <col min="10740" max="10740" width="26.5703125" style="2" customWidth="1"/>
    <col min="10741" max="10741" width="13.42578125" style="2" customWidth="1"/>
    <col min="10742" max="10742" width="12.28515625" style="2" customWidth="1"/>
    <col min="10743" max="10744" width="12.85546875" style="2" customWidth="1"/>
    <col min="10745" max="10745" width="10.5703125" style="2" customWidth="1"/>
    <col min="10746" max="10747" width="10.42578125" style="2" customWidth="1"/>
    <col min="10748" max="10748" width="12.42578125" style="2" customWidth="1"/>
    <col min="10749" max="10749" width="10" style="2" customWidth="1"/>
    <col min="10750" max="10750" width="10.28515625" style="2" customWidth="1"/>
    <col min="10751" max="10751" width="11.28515625" style="2" customWidth="1"/>
    <col min="10752" max="10752" width="10.7109375" style="2" customWidth="1"/>
    <col min="10753" max="10753" width="11" style="2" customWidth="1"/>
    <col min="10754" max="10754" width="11.85546875" style="2" customWidth="1"/>
    <col min="10755" max="10755" width="12.85546875" style="2" customWidth="1"/>
    <col min="10756" max="10756" width="11" style="2" customWidth="1"/>
    <col min="10757" max="10757" width="11.85546875" style="2" customWidth="1"/>
    <col min="10758" max="10995" width="9.140625" style="2"/>
    <col min="10996" max="10996" width="26.5703125" style="2" customWidth="1"/>
    <col min="10997" max="10997" width="13.42578125" style="2" customWidth="1"/>
    <col min="10998" max="10998" width="12.28515625" style="2" customWidth="1"/>
    <col min="10999" max="11000" width="12.85546875" style="2" customWidth="1"/>
    <col min="11001" max="11001" width="10.5703125" style="2" customWidth="1"/>
    <col min="11002" max="11003" width="10.42578125" style="2" customWidth="1"/>
    <col min="11004" max="11004" width="12.42578125" style="2" customWidth="1"/>
    <col min="11005" max="11005" width="10" style="2" customWidth="1"/>
    <col min="11006" max="11006" width="10.28515625" style="2" customWidth="1"/>
    <col min="11007" max="11007" width="11.28515625" style="2" customWidth="1"/>
    <col min="11008" max="11008" width="10.7109375" style="2" customWidth="1"/>
    <col min="11009" max="11009" width="11" style="2" customWidth="1"/>
    <col min="11010" max="11010" width="11.85546875" style="2" customWidth="1"/>
    <col min="11011" max="11011" width="12.85546875" style="2" customWidth="1"/>
    <col min="11012" max="11012" width="11" style="2" customWidth="1"/>
    <col min="11013" max="11013" width="11.85546875" style="2" customWidth="1"/>
    <col min="11014" max="11251" width="9.140625" style="2"/>
    <col min="11252" max="11252" width="26.5703125" style="2" customWidth="1"/>
    <col min="11253" max="11253" width="13.42578125" style="2" customWidth="1"/>
    <col min="11254" max="11254" width="12.28515625" style="2" customWidth="1"/>
    <col min="11255" max="11256" width="12.85546875" style="2" customWidth="1"/>
    <col min="11257" max="11257" width="10.5703125" style="2" customWidth="1"/>
    <col min="11258" max="11259" width="10.42578125" style="2" customWidth="1"/>
    <col min="11260" max="11260" width="12.42578125" style="2" customWidth="1"/>
    <col min="11261" max="11261" width="10" style="2" customWidth="1"/>
    <col min="11262" max="11262" width="10.28515625" style="2" customWidth="1"/>
    <col min="11263" max="11263" width="11.28515625" style="2" customWidth="1"/>
    <col min="11264" max="11264" width="10.7109375" style="2" customWidth="1"/>
    <col min="11265" max="11265" width="11" style="2" customWidth="1"/>
    <col min="11266" max="11266" width="11.85546875" style="2" customWidth="1"/>
    <col min="11267" max="11267" width="12.85546875" style="2" customWidth="1"/>
    <col min="11268" max="11268" width="11" style="2" customWidth="1"/>
    <col min="11269" max="11269" width="11.85546875" style="2" customWidth="1"/>
    <col min="11270" max="11507" width="9.140625" style="2"/>
    <col min="11508" max="11508" width="26.5703125" style="2" customWidth="1"/>
    <col min="11509" max="11509" width="13.42578125" style="2" customWidth="1"/>
    <col min="11510" max="11510" width="12.28515625" style="2" customWidth="1"/>
    <col min="11511" max="11512" width="12.85546875" style="2" customWidth="1"/>
    <col min="11513" max="11513" width="10.5703125" style="2" customWidth="1"/>
    <col min="11514" max="11515" width="10.42578125" style="2" customWidth="1"/>
    <col min="11516" max="11516" width="12.42578125" style="2" customWidth="1"/>
    <col min="11517" max="11517" width="10" style="2" customWidth="1"/>
    <col min="11518" max="11518" width="10.28515625" style="2" customWidth="1"/>
    <col min="11519" max="11519" width="11.28515625" style="2" customWidth="1"/>
    <col min="11520" max="11520" width="10.7109375" style="2" customWidth="1"/>
    <col min="11521" max="11521" width="11" style="2" customWidth="1"/>
    <col min="11522" max="11522" width="11.85546875" style="2" customWidth="1"/>
    <col min="11523" max="11523" width="12.85546875" style="2" customWidth="1"/>
    <col min="11524" max="11524" width="11" style="2" customWidth="1"/>
    <col min="11525" max="11525" width="11.85546875" style="2" customWidth="1"/>
    <col min="11526" max="11763" width="9.140625" style="2"/>
    <col min="11764" max="11764" width="26.5703125" style="2" customWidth="1"/>
    <col min="11765" max="11765" width="13.42578125" style="2" customWidth="1"/>
    <col min="11766" max="11766" width="12.28515625" style="2" customWidth="1"/>
    <col min="11767" max="11768" width="12.85546875" style="2" customWidth="1"/>
    <col min="11769" max="11769" width="10.5703125" style="2" customWidth="1"/>
    <col min="11770" max="11771" width="10.42578125" style="2" customWidth="1"/>
    <col min="11772" max="11772" width="12.42578125" style="2" customWidth="1"/>
    <col min="11773" max="11773" width="10" style="2" customWidth="1"/>
    <col min="11774" max="11774" width="10.28515625" style="2" customWidth="1"/>
    <col min="11775" max="11775" width="11.28515625" style="2" customWidth="1"/>
    <col min="11776" max="11776" width="10.7109375" style="2" customWidth="1"/>
    <col min="11777" max="11777" width="11" style="2" customWidth="1"/>
    <col min="11778" max="11778" width="11.85546875" style="2" customWidth="1"/>
    <col min="11779" max="11779" width="12.85546875" style="2" customWidth="1"/>
    <col min="11780" max="11780" width="11" style="2" customWidth="1"/>
    <col min="11781" max="11781" width="11.85546875" style="2" customWidth="1"/>
    <col min="11782" max="12019" width="9.140625" style="2"/>
    <col min="12020" max="12020" width="26.5703125" style="2" customWidth="1"/>
    <col min="12021" max="12021" width="13.42578125" style="2" customWidth="1"/>
    <col min="12022" max="12022" width="12.28515625" style="2" customWidth="1"/>
    <col min="12023" max="12024" width="12.85546875" style="2" customWidth="1"/>
    <col min="12025" max="12025" width="10.5703125" style="2" customWidth="1"/>
    <col min="12026" max="12027" width="10.42578125" style="2" customWidth="1"/>
    <col min="12028" max="12028" width="12.42578125" style="2" customWidth="1"/>
    <col min="12029" max="12029" width="10" style="2" customWidth="1"/>
    <col min="12030" max="12030" width="10.28515625" style="2" customWidth="1"/>
    <col min="12031" max="12031" width="11.28515625" style="2" customWidth="1"/>
    <col min="12032" max="12032" width="10.7109375" style="2" customWidth="1"/>
    <col min="12033" max="12033" width="11" style="2" customWidth="1"/>
    <col min="12034" max="12034" width="11.85546875" style="2" customWidth="1"/>
    <col min="12035" max="12035" width="12.85546875" style="2" customWidth="1"/>
    <col min="12036" max="12036" width="11" style="2" customWidth="1"/>
    <col min="12037" max="12037" width="11.85546875" style="2" customWidth="1"/>
    <col min="12038" max="12275" width="9.140625" style="2"/>
    <col min="12276" max="12276" width="26.5703125" style="2" customWidth="1"/>
    <col min="12277" max="12277" width="13.42578125" style="2" customWidth="1"/>
    <col min="12278" max="12278" width="12.28515625" style="2" customWidth="1"/>
    <col min="12279" max="12280" width="12.85546875" style="2" customWidth="1"/>
    <col min="12281" max="12281" width="10.5703125" style="2" customWidth="1"/>
    <col min="12282" max="12283" width="10.42578125" style="2" customWidth="1"/>
    <col min="12284" max="12284" width="12.42578125" style="2" customWidth="1"/>
    <col min="12285" max="12285" width="10" style="2" customWidth="1"/>
    <col min="12286" max="12286" width="10.28515625" style="2" customWidth="1"/>
    <col min="12287" max="12287" width="11.28515625" style="2" customWidth="1"/>
    <col min="12288" max="12288" width="10.7109375" style="2" customWidth="1"/>
    <col min="12289" max="12289" width="11" style="2" customWidth="1"/>
    <col min="12290" max="12290" width="11.85546875" style="2" customWidth="1"/>
    <col min="12291" max="12291" width="12.85546875" style="2" customWidth="1"/>
    <col min="12292" max="12292" width="11" style="2" customWidth="1"/>
    <col min="12293" max="12293" width="11.85546875" style="2" customWidth="1"/>
    <col min="12294" max="12531" width="9.140625" style="2"/>
    <col min="12532" max="12532" width="26.5703125" style="2" customWidth="1"/>
    <col min="12533" max="12533" width="13.42578125" style="2" customWidth="1"/>
    <col min="12534" max="12534" width="12.28515625" style="2" customWidth="1"/>
    <col min="12535" max="12536" width="12.85546875" style="2" customWidth="1"/>
    <col min="12537" max="12537" width="10.5703125" style="2" customWidth="1"/>
    <col min="12538" max="12539" width="10.42578125" style="2" customWidth="1"/>
    <col min="12540" max="12540" width="12.42578125" style="2" customWidth="1"/>
    <col min="12541" max="12541" width="10" style="2" customWidth="1"/>
    <col min="12542" max="12542" width="10.28515625" style="2" customWidth="1"/>
    <col min="12543" max="12543" width="11.28515625" style="2" customWidth="1"/>
    <col min="12544" max="12544" width="10.7109375" style="2" customWidth="1"/>
    <col min="12545" max="12545" width="11" style="2" customWidth="1"/>
    <col min="12546" max="12546" width="11.85546875" style="2" customWidth="1"/>
    <col min="12547" max="12547" width="12.85546875" style="2" customWidth="1"/>
    <col min="12548" max="12548" width="11" style="2" customWidth="1"/>
    <col min="12549" max="12549" width="11.85546875" style="2" customWidth="1"/>
    <col min="12550" max="12787" width="9.140625" style="2"/>
    <col min="12788" max="12788" width="26.5703125" style="2" customWidth="1"/>
    <col min="12789" max="12789" width="13.42578125" style="2" customWidth="1"/>
    <col min="12790" max="12790" width="12.28515625" style="2" customWidth="1"/>
    <col min="12791" max="12792" width="12.85546875" style="2" customWidth="1"/>
    <col min="12793" max="12793" width="10.5703125" style="2" customWidth="1"/>
    <col min="12794" max="12795" width="10.42578125" style="2" customWidth="1"/>
    <col min="12796" max="12796" width="12.42578125" style="2" customWidth="1"/>
    <col min="12797" max="12797" width="10" style="2" customWidth="1"/>
    <col min="12798" max="12798" width="10.28515625" style="2" customWidth="1"/>
    <col min="12799" max="12799" width="11.28515625" style="2" customWidth="1"/>
    <col min="12800" max="12800" width="10.7109375" style="2" customWidth="1"/>
    <col min="12801" max="12801" width="11" style="2" customWidth="1"/>
    <col min="12802" max="12802" width="11.85546875" style="2" customWidth="1"/>
    <col min="12803" max="12803" width="12.85546875" style="2" customWidth="1"/>
    <col min="12804" max="12804" width="11" style="2" customWidth="1"/>
    <col min="12805" max="12805" width="11.85546875" style="2" customWidth="1"/>
    <col min="12806" max="13043" width="9.140625" style="2"/>
    <col min="13044" max="13044" width="26.5703125" style="2" customWidth="1"/>
    <col min="13045" max="13045" width="13.42578125" style="2" customWidth="1"/>
    <col min="13046" max="13046" width="12.28515625" style="2" customWidth="1"/>
    <col min="13047" max="13048" width="12.85546875" style="2" customWidth="1"/>
    <col min="13049" max="13049" width="10.5703125" style="2" customWidth="1"/>
    <col min="13050" max="13051" width="10.42578125" style="2" customWidth="1"/>
    <col min="13052" max="13052" width="12.42578125" style="2" customWidth="1"/>
    <col min="13053" max="13053" width="10" style="2" customWidth="1"/>
    <col min="13054" max="13054" width="10.28515625" style="2" customWidth="1"/>
    <col min="13055" max="13055" width="11.28515625" style="2" customWidth="1"/>
    <col min="13056" max="13056" width="10.7109375" style="2" customWidth="1"/>
    <col min="13057" max="13057" width="11" style="2" customWidth="1"/>
    <col min="13058" max="13058" width="11.85546875" style="2" customWidth="1"/>
    <col min="13059" max="13059" width="12.85546875" style="2" customWidth="1"/>
    <col min="13060" max="13060" width="11" style="2" customWidth="1"/>
    <col min="13061" max="13061" width="11.85546875" style="2" customWidth="1"/>
    <col min="13062" max="13299" width="9.140625" style="2"/>
    <col min="13300" max="13300" width="26.5703125" style="2" customWidth="1"/>
    <col min="13301" max="13301" width="13.42578125" style="2" customWidth="1"/>
    <col min="13302" max="13302" width="12.28515625" style="2" customWidth="1"/>
    <col min="13303" max="13304" width="12.85546875" style="2" customWidth="1"/>
    <col min="13305" max="13305" width="10.5703125" style="2" customWidth="1"/>
    <col min="13306" max="13307" width="10.42578125" style="2" customWidth="1"/>
    <col min="13308" max="13308" width="12.42578125" style="2" customWidth="1"/>
    <col min="13309" max="13309" width="10" style="2" customWidth="1"/>
    <col min="13310" max="13310" width="10.28515625" style="2" customWidth="1"/>
    <col min="13311" max="13311" width="11.28515625" style="2" customWidth="1"/>
    <col min="13312" max="13312" width="10.7109375" style="2" customWidth="1"/>
    <col min="13313" max="13313" width="11" style="2" customWidth="1"/>
    <col min="13314" max="13314" width="11.85546875" style="2" customWidth="1"/>
    <col min="13315" max="13315" width="12.85546875" style="2" customWidth="1"/>
    <col min="13316" max="13316" width="11" style="2" customWidth="1"/>
    <col min="13317" max="13317" width="11.85546875" style="2" customWidth="1"/>
    <col min="13318" max="13555" width="9.140625" style="2"/>
    <col min="13556" max="13556" width="26.5703125" style="2" customWidth="1"/>
    <col min="13557" max="13557" width="13.42578125" style="2" customWidth="1"/>
    <col min="13558" max="13558" width="12.28515625" style="2" customWidth="1"/>
    <col min="13559" max="13560" width="12.85546875" style="2" customWidth="1"/>
    <col min="13561" max="13561" width="10.5703125" style="2" customWidth="1"/>
    <col min="13562" max="13563" width="10.42578125" style="2" customWidth="1"/>
    <col min="13564" max="13564" width="12.42578125" style="2" customWidth="1"/>
    <col min="13565" max="13565" width="10" style="2" customWidth="1"/>
    <col min="13566" max="13566" width="10.28515625" style="2" customWidth="1"/>
    <col min="13567" max="13567" width="11.28515625" style="2" customWidth="1"/>
    <col min="13568" max="13568" width="10.7109375" style="2" customWidth="1"/>
    <col min="13569" max="13569" width="11" style="2" customWidth="1"/>
    <col min="13570" max="13570" width="11.85546875" style="2" customWidth="1"/>
    <col min="13571" max="13571" width="12.85546875" style="2" customWidth="1"/>
    <col min="13572" max="13572" width="11" style="2" customWidth="1"/>
    <col min="13573" max="13573" width="11.85546875" style="2" customWidth="1"/>
    <col min="13574" max="13811" width="9.140625" style="2"/>
    <col min="13812" max="13812" width="26.5703125" style="2" customWidth="1"/>
    <col min="13813" max="13813" width="13.42578125" style="2" customWidth="1"/>
    <col min="13814" max="13814" width="12.28515625" style="2" customWidth="1"/>
    <col min="13815" max="13816" width="12.85546875" style="2" customWidth="1"/>
    <col min="13817" max="13817" width="10.5703125" style="2" customWidth="1"/>
    <col min="13818" max="13819" width="10.42578125" style="2" customWidth="1"/>
    <col min="13820" max="13820" width="12.42578125" style="2" customWidth="1"/>
    <col min="13821" max="13821" width="10" style="2" customWidth="1"/>
    <col min="13822" max="13822" width="10.28515625" style="2" customWidth="1"/>
    <col min="13823" max="13823" width="11.28515625" style="2" customWidth="1"/>
    <col min="13824" max="13824" width="10.7109375" style="2" customWidth="1"/>
    <col min="13825" max="13825" width="11" style="2" customWidth="1"/>
    <col min="13826" max="13826" width="11.85546875" style="2" customWidth="1"/>
    <col min="13827" max="13827" width="12.85546875" style="2" customWidth="1"/>
    <col min="13828" max="13828" width="11" style="2" customWidth="1"/>
    <col min="13829" max="13829" width="11.85546875" style="2" customWidth="1"/>
    <col min="13830" max="14067" width="9.140625" style="2"/>
    <col min="14068" max="14068" width="26.5703125" style="2" customWidth="1"/>
    <col min="14069" max="14069" width="13.42578125" style="2" customWidth="1"/>
    <col min="14070" max="14070" width="12.28515625" style="2" customWidth="1"/>
    <col min="14071" max="14072" width="12.85546875" style="2" customWidth="1"/>
    <col min="14073" max="14073" width="10.5703125" style="2" customWidth="1"/>
    <col min="14074" max="14075" width="10.42578125" style="2" customWidth="1"/>
    <col min="14076" max="14076" width="12.42578125" style="2" customWidth="1"/>
    <col min="14077" max="14077" width="10" style="2" customWidth="1"/>
    <col min="14078" max="14078" width="10.28515625" style="2" customWidth="1"/>
    <col min="14079" max="14079" width="11.28515625" style="2" customWidth="1"/>
    <col min="14080" max="14080" width="10.7109375" style="2" customWidth="1"/>
    <col min="14081" max="14081" width="11" style="2" customWidth="1"/>
    <col min="14082" max="14082" width="11.85546875" style="2" customWidth="1"/>
    <col min="14083" max="14083" width="12.85546875" style="2" customWidth="1"/>
    <col min="14084" max="14084" width="11" style="2" customWidth="1"/>
    <col min="14085" max="14085" width="11.85546875" style="2" customWidth="1"/>
    <col min="14086" max="14323" width="9.140625" style="2"/>
    <col min="14324" max="14324" width="26.5703125" style="2" customWidth="1"/>
    <col min="14325" max="14325" width="13.42578125" style="2" customWidth="1"/>
    <col min="14326" max="14326" width="12.28515625" style="2" customWidth="1"/>
    <col min="14327" max="14328" width="12.85546875" style="2" customWidth="1"/>
    <col min="14329" max="14329" width="10.5703125" style="2" customWidth="1"/>
    <col min="14330" max="14331" width="10.42578125" style="2" customWidth="1"/>
    <col min="14332" max="14332" width="12.42578125" style="2" customWidth="1"/>
    <col min="14333" max="14333" width="10" style="2" customWidth="1"/>
    <col min="14334" max="14334" width="10.28515625" style="2" customWidth="1"/>
    <col min="14335" max="14335" width="11.28515625" style="2" customWidth="1"/>
    <col min="14336" max="14336" width="10.7109375" style="2" customWidth="1"/>
    <col min="14337" max="14337" width="11" style="2" customWidth="1"/>
    <col min="14338" max="14338" width="11.85546875" style="2" customWidth="1"/>
    <col min="14339" max="14339" width="12.85546875" style="2" customWidth="1"/>
    <col min="14340" max="14340" width="11" style="2" customWidth="1"/>
    <col min="14341" max="14341" width="11.85546875" style="2" customWidth="1"/>
    <col min="14342" max="14579" width="9.140625" style="2"/>
    <col min="14580" max="14580" width="26.5703125" style="2" customWidth="1"/>
    <col min="14581" max="14581" width="13.42578125" style="2" customWidth="1"/>
    <col min="14582" max="14582" width="12.28515625" style="2" customWidth="1"/>
    <col min="14583" max="14584" width="12.85546875" style="2" customWidth="1"/>
    <col min="14585" max="14585" width="10.5703125" style="2" customWidth="1"/>
    <col min="14586" max="14587" width="10.42578125" style="2" customWidth="1"/>
    <col min="14588" max="14588" width="12.42578125" style="2" customWidth="1"/>
    <col min="14589" max="14589" width="10" style="2" customWidth="1"/>
    <col min="14590" max="14590" width="10.28515625" style="2" customWidth="1"/>
    <col min="14591" max="14591" width="11.28515625" style="2" customWidth="1"/>
    <col min="14592" max="14592" width="10.7109375" style="2" customWidth="1"/>
    <col min="14593" max="14593" width="11" style="2" customWidth="1"/>
    <col min="14594" max="14594" width="11.85546875" style="2" customWidth="1"/>
    <col min="14595" max="14595" width="12.85546875" style="2" customWidth="1"/>
    <col min="14596" max="14596" width="11" style="2" customWidth="1"/>
    <col min="14597" max="14597" width="11.85546875" style="2" customWidth="1"/>
    <col min="14598" max="14835" width="9.140625" style="2"/>
    <col min="14836" max="14836" width="26.5703125" style="2" customWidth="1"/>
    <col min="14837" max="14837" width="13.42578125" style="2" customWidth="1"/>
    <col min="14838" max="14838" width="12.28515625" style="2" customWidth="1"/>
    <col min="14839" max="14840" width="12.85546875" style="2" customWidth="1"/>
    <col min="14841" max="14841" width="10.5703125" style="2" customWidth="1"/>
    <col min="14842" max="14843" width="10.42578125" style="2" customWidth="1"/>
    <col min="14844" max="14844" width="12.42578125" style="2" customWidth="1"/>
    <col min="14845" max="14845" width="10" style="2" customWidth="1"/>
    <col min="14846" max="14846" width="10.28515625" style="2" customWidth="1"/>
    <col min="14847" max="14847" width="11.28515625" style="2" customWidth="1"/>
    <col min="14848" max="14848" width="10.7109375" style="2" customWidth="1"/>
    <col min="14849" max="14849" width="11" style="2" customWidth="1"/>
    <col min="14850" max="14850" width="11.85546875" style="2" customWidth="1"/>
    <col min="14851" max="14851" width="12.85546875" style="2" customWidth="1"/>
    <col min="14852" max="14852" width="11" style="2" customWidth="1"/>
    <col min="14853" max="14853" width="11.85546875" style="2" customWidth="1"/>
    <col min="14854" max="15091" width="9.140625" style="2"/>
    <col min="15092" max="15092" width="26.5703125" style="2" customWidth="1"/>
    <col min="15093" max="15093" width="13.42578125" style="2" customWidth="1"/>
    <col min="15094" max="15094" width="12.28515625" style="2" customWidth="1"/>
    <col min="15095" max="15096" width="12.85546875" style="2" customWidth="1"/>
    <col min="15097" max="15097" width="10.5703125" style="2" customWidth="1"/>
    <col min="15098" max="15099" width="10.42578125" style="2" customWidth="1"/>
    <col min="15100" max="15100" width="12.42578125" style="2" customWidth="1"/>
    <col min="15101" max="15101" width="10" style="2" customWidth="1"/>
    <col min="15102" max="15102" width="10.28515625" style="2" customWidth="1"/>
    <col min="15103" max="15103" width="11.28515625" style="2" customWidth="1"/>
    <col min="15104" max="15104" width="10.7109375" style="2" customWidth="1"/>
    <col min="15105" max="15105" width="11" style="2" customWidth="1"/>
    <col min="15106" max="15106" width="11.85546875" style="2" customWidth="1"/>
    <col min="15107" max="15107" width="12.85546875" style="2" customWidth="1"/>
    <col min="15108" max="15108" width="11" style="2" customWidth="1"/>
    <col min="15109" max="15109" width="11.85546875" style="2" customWidth="1"/>
    <col min="15110" max="15347" width="9.140625" style="2"/>
    <col min="15348" max="15348" width="26.5703125" style="2" customWidth="1"/>
    <col min="15349" max="15349" width="13.42578125" style="2" customWidth="1"/>
    <col min="15350" max="15350" width="12.28515625" style="2" customWidth="1"/>
    <col min="15351" max="15352" width="12.85546875" style="2" customWidth="1"/>
    <col min="15353" max="15353" width="10.5703125" style="2" customWidth="1"/>
    <col min="15354" max="15355" width="10.42578125" style="2" customWidth="1"/>
    <col min="15356" max="15356" width="12.42578125" style="2" customWidth="1"/>
    <col min="15357" max="15357" width="10" style="2" customWidth="1"/>
    <col min="15358" max="15358" width="10.28515625" style="2" customWidth="1"/>
    <col min="15359" max="15359" width="11.28515625" style="2" customWidth="1"/>
    <col min="15360" max="15360" width="10.7109375" style="2" customWidth="1"/>
    <col min="15361" max="15361" width="11" style="2" customWidth="1"/>
    <col min="15362" max="15362" width="11.85546875" style="2" customWidth="1"/>
    <col min="15363" max="15363" width="12.85546875" style="2" customWidth="1"/>
    <col min="15364" max="15364" width="11" style="2" customWidth="1"/>
    <col min="15365" max="15365" width="11.85546875" style="2" customWidth="1"/>
    <col min="15366" max="15603" width="9.140625" style="2"/>
    <col min="15604" max="15604" width="26.5703125" style="2" customWidth="1"/>
    <col min="15605" max="15605" width="13.42578125" style="2" customWidth="1"/>
    <col min="15606" max="15606" width="12.28515625" style="2" customWidth="1"/>
    <col min="15607" max="15608" width="12.85546875" style="2" customWidth="1"/>
    <col min="15609" max="15609" width="10.5703125" style="2" customWidth="1"/>
    <col min="15610" max="15611" width="10.42578125" style="2" customWidth="1"/>
    <col min="15612" max="15612" width="12.42578125" style="2" customWidth="1"/>
    <col min="15613" max="15613" width="10" style="2" customWidth="1"/>
    <col min="15614" max="15614" width="10.28515625" style="2" customWidth="1"/>
    <col min="15615" max="15615" width="11.28515625" style="2" customWidth="1"/>
    <col min="15616" max="15616" width="10.7109375" style="2" customWidth="1"/>
    <col min="15617" max="15617" width="11" style="2" customWidth="1"/>
    <col min="15618" max="15618" width="11.85546875" style="2" customWidth="1"/>
    <col min="15619" max="15619" width="12.85546875" style="2" customWidth="1"/>
    <col min="15620" max="15620" width="11" style="2" customWidth="1"/>
    <col min="15621" max="15621" width="11.85546875" style="2" customWidth="1"/>
    <col min="15622" max="15859" width="9.140625" style="2"/>
    <col min="15860" max="15860" width="26.5703125" style="2" customWidth="1"/>
    <col min="15861" max="15861" width="13.42578125" style="2" customWidth="1"/>
    <col min="15862" max="15862" width="12.28515625" style="2" customWidth="1"/>
    <col min="15863" max="15864" width="12.85546875" style="2" customWidth="1"/>
    <col min="15865" max="15865" width="10.5703125" style="2" customWidth="1"/>
    <col min="15866" max="15867" width="10.42578125" style="2" customWidth="1"/>
    <col min="15868" max="15868" width="12.42578125" style="2" customWidth="1"/>
    <col min="15869" max="15869" width="10" style="2" customWidth="1"/>
    <col min="15870" max="15870" width="10.28515625" style="2" customWidth="1"/>
    <col min="15871" max="15871" width="11.28515625" style="2" customWidth="1"/>
    <col min="15872" max="15872" width="10.7109375" style="2" customWidth="1"/>
    <col min="15873" max="15873" width="11" style="2" customWidth="1"/>
    <col min="15874" max="15874" width="11.85546875" style="2" customWidth="1"/>
    <col min="15875" max="15875" width="12.85546875" style="2" customWidth="1"/>
    <col min="15876" max="15876" width="11" style="2" customWidth="1"/>
    <col min="15877" max="15877" width="11.85546875" style="2" customWidth="1"/>
    <col min="15878" max="16115" width="9.140625" style="2"/>
    <col min="16116" max="16116" width="26.5703125" style="2" customWidth="1"/>
    <col min="16117" max="16117" width="13.42578125" style="2" customWidth="1"/>
    <col min="16118" max="16118" width="12.28515625" style="2" customWidth="1"/>
    <col min="16119" max="16120" width="12.85546875" style="2" customWidth="1"/>
    <col min="16121" max="16121" width="10.5703125" style="2" customWidth="1"/>
    <col min="16122" max="16123" width="10.42578125" style="2" customWidth="1"/>
    <col min="16124" max="16124" width="12.42578125" style="2" customWidth="1"/>
    <col min="16125" max="16125" width="10" style="2" customWidth="1"/>
    <col min="16126" max="16126" width="10.28515625" style="2" customWidth="1"/>
    <col min="16127" max="16127" width="11.28515625" style="2" customWidth="1"/>
    <col min="16128" max="16128" width="10.7109375" style="2" customWidth="1"/>
    <col min="16129" max="16129" width="11" style="2" customWidth="1"/>
    <col min="16130" max="16130" width="11.85546875" style="2" customWidth="1"/>
    <col min="16131" max="16131" width="12.85546875" style="2" customWidth="1"/>
    <col min="16132" max="16132" width="11" style="2" customWidth="1"/>
    <col min="16133" max="16133" width="11.85546875" style="2" customWidth="1"/>
    <col min="16134" max="16384" width="9.140625" style="2"/>
  </cols>
  <sheetData>
    <row r="1" spans="1:5" x14ac:dyDescent="0.25">
      <c r="A1" s="55" t="s">
        <v>442</v>
      </c>
      <c r="B1" s="54"/>
      <c r="C1" s="54"/>
      <c r="D1" s="54"/>
      <c r="E1" s="54"/>
    </row>
    <row r="2" spans="1:5" x14ac:dyDescent="0.25">
      <c r="A2" s="55" t="s">
        <v>394</v>
      </c>
      <c r="B2" s="54"/>
      <c r="C2" s="54"/>
      <c r="D2" s="54"/>
      <c r="E2" s="54"/>
    </row>
    <row r="3" spans="1:5" x14ac:dyDescent="0.25">
      <c r="A3" s="54"/>
      <c r="B3" s="54"/>
      <c r="C3" s="54"/>
      <c r="D3" s="54"/>
      <c r="E3" s="54"/>
    </row>
    <row r="4" spans="1:5" ht="112.5" customHeight="1" x14ac:dyDescent="0.25">
      <c r="A4" s="203" t="s">
        <v>350</v>
      </c>
      <c r="B4" s="204"/>
      <c r="C4" s="263" t="s">
        <v>395</v>
      </c>
      <c r="D4" s="263" t="s">
        <v>5</v>
      </c>
      <c r="E4" s="263" t="s">
        <v>396</v>
      </c>
    </row>
    <row r="5" spans="1:5" ht="21" customHeight="1" x14ac:dyDescent="0.25">
      <c r="A5" s="206"/>
      <c r="B5" s="204"/>
      <c r="C5" s="207">
        <v>452</v>
      </c>
      <c r="D5" s="207">
        <v>50</v>
      </c>
      <c r="E5" s="208">
        <v>55</v>
      </c>
    </row>
    <row r="6" spans="1:5" s="212" customFormat="1" x14ac:dyDescent="0.25">
      <c r="A6" s="209" t="s">
        <v>207</v>
      </c>
      <c r="B6" s="283">
        <f t="shared" ref="B6:B38" si="0">SUM(C6,D6,E6)</f>
        <v>29364292</v>
      </c>
      <c r="C6" s="283">
        <f t="shared" ref="C6" si="1">SUM(C7:C38)</f>
        <v>3725000</v>
      </c>
      <c r="D6" s="284">
        <f>SUM(D7:D38)</f>
        <v>20702231</v>
      </c>
      <c r="E6" s="284">
        <f>SUM(E7:E38)</f>
        <v>4937061</v>
      </c>
    </row>
    <row r="7" spans="1:5" x14ac:dyDescent="0.25">
      <c r="A7" s="213" t="s">
        <v>530</v>
      </c>
      <c r="B7" s="210">
        <f t="shared" si="0"/>
        <v>702180</v>
      </c>
      <c r="C7" s="211"/>
      <c r="D7" s="214">
        <v>577163</v>
      </c>
      <c r="E7" s="215">
        <v>125017</v>
      </c>
    </row>
    <row r="8" spans="1:5" x14ac:dyDescent="0.25">
      <c r="A8" s="213" t="s">
        <v>528</v>
      </c>
      <c r="B8" s="210">
        <f t="shared" si="0"/>
        <v>1040455</v>
      </c>
      <c r="C8" s="211"/>
      <c r="D8" s="214">
        <v>921889</v>
      </c>
      <c r="E8" s="215">
        <v>118566</v>
      </c>
    </row>
    <row r="9" spans="1:5" x14ac:dyDescent="0.25">
      <c r="A9" s="213" t="s">
        <v>529</v>
      </c>
      <c r="B9" s="210">
        <f t="shared" si="0"/>
        <v>511750</v>
      </c>
      <c r="C9" s="214"/>
      <c r="D9" s="214">
        <v>440322</v>
      </c>
      <c r="E9" s="215">
        <v>71428</v>
      </c>
    </row>
    <row r="10" spans="1:5" x14ac:dyDescent="0.25">
      <c r="A10" s="213" t="s">
        <v>527</v>
      </c>
      <c r="B10" s="210">
        <f t="shared" si="0"/>
        <v>986477</v>
      </c>
      <c r="C10" s="214"/>
      <c r="D10" s="214">
        <v>834446</v>
      </c>
      <c r="E10" s="215">
        <v>152031</v>
      </c>
    </row>
    <row r="11" spans="1:5" x14ac:dyDescent="0.25">
      <c r="A11" s="213" t="s">
        <v>526</v>
      </c>
      <c r="B11" s="210">
        <f t="shared" si="0"/>
        <v>1104261</v>
      </c>
      <c r="C11" s="214"/>
      <c r="D11" s="214">
        <v>935042</v>
      </c>
      <c r="E11" s="215">
        <v>169219</v>
      </c>
    </row>
    <row r="12" spans="1:5" x14ac:dyDescent="0.25">
      <c r="A12" s="213" t="s">
        <v>525</v>
      </c>
      <c r="B12" s="210">
        <f t="shared" si="0"/>
        <v>839368</v>
      </c>
      <c r="C12" s="214"/>
      <c r="D12" s="214">
        <v>614378</v>
      </c>
      <c r="E12" s="215">
        <v>224990</v>
      </c>
    </row>
    <row r="13" spans="1:5" x14ac:dyDescent="0.25">
      <c r="A13" s="213" t="s">
        <v>524</v>
      </c>
      <c r="B13" s="210">
        <f t="shared" si="0"/>
        <v>1087427</v>
      </c>
      <c r="C13" s="214"/>
      <c r="D13" s="214">
        <v>936116</v>
      </c>
      <c r="E13" s="215">
        <v>151311</v>
      </c>
    </row>
    <row r="14" spans="1:5" x14ac:dyDescent="0.25">
      <c r="A14" s="213" t="s">
        <v>523</v>
      </c>
      <c r="B14" s="210">
        <f t="shared" si="0"/>
        <v>917959</v>
      </c>
      <c r="C14" s="214"/>
      <c r="D14" s="214">
        <v>775875</v>
      </c>
      <c r="E14" s="215">
        <v>142084</v>
      </c>
    </row>
    <row r="15" spans="1:5" x14ac:dyDescent="0.25">
      <c r="A15" s="213" t="s">
        <v>522</v>
      </c>
      <c r="B15" s="210">
        <f t="shared" si="0"/>
        <v>546180</v>
      </c>
      <c r="C15" s="214"/>
      <c r="D15" s="214">
        <v>433658</v>
      </c>
      <c r="E15" s="215">
        <v>112522</v>
      </c>
    </row>
    <row r="16" spans="1:5" x14ac:dyDescent="0.25">
      <c r="A16" s="213" t="s">
        <v>521</v>
      </c>
      <c r="B16" s="210">
        <f t="shared" si="0"/>
        <v>943002</v>
      </c>
      <c r="C16" s="214"/>
      <c r="D16" s="214">
        <v>826935</v>
      </c>
      <c r="E16" s="215">
        <v>116067</v>
      </c>
    </row>
    <row r="17" spans="1:5" x14ac:dyDescent="0.25">
      <c r="A17" s="213" t="s">
        <v>520</v>
      </c>
      <c r="B17" s="210">
        <f t="shared" si="0"/>
        <v>629905</v>
      </c>
      <c r="C17" s="214"/>
      <c r="D17" s="214">
        <v>464672</v>
      </c>
      <c r="E17" s="215">
        <v>165233</v>
      </c>
    </row>
    <row r="18" spans="1:5" x14ac:dyDescent="0.25">
      <c r="A18" s="213" t="s">
        <v>519</v>
      </c>
      <c r="B18" s="210">
        <f t="shared" si="0"/>
        <v>828372</v>
      </c>
      <c r="C18" s="214"/>
      <c r="D18" s="214">
        <v>680945</v>
      </c>
      <c r="E18" s="215">
        <v>147427</v>
      </c>
    </row>
    <row r="19" spans="1:5" x14ac:dyDescent="0.25">
      <c r="A19" s="213" t="s">
        <v>518</v>
      </c>
      <c r="B19" s="210">
        <f t="shared" si="0"/>
        <v>605527</v>
      </c>
      <c r="C19" s="214"/>
      <c r="D19" s="214">
        <v>500181</v>
      </c>
      <c r="E19" s="215">
        <v>105346</v>
      </c>
    </row>
    <row r="20" spans="1:5" x14ac:dyDescent="0.25">
      <c r="A20" s="213" t="s">
        <v>517</v>
      </c>
      <c r="B20" s="210">
        <f t="shared" si="0"/>
        <v>948760</v>
      </c>
      <c r="C20" s="214"/>
      <c r="D20" s="214">
        <v>827832</v>
      </c>
      <c r="E20" s="215">
        <v>120928</v>
      </c>
    </row>
    <row r="21" spans="1:5" x14ac:dyDescent="0.25">
      <c r="A21" s="213" t="s">
        <v>516</v>
      </c>
      <c r="B21" s="210">
        <f t="shared" si="0"/>
        <v>1055238</v>
      </c>
      <c r="C21" s="214"/>
      <c r="D21" s="214">
        <v>840423</v>
      </c>
      <c r="E21" s="215">
        <v>214815</v>
      </c>
    </row>
    <row r="22" spans="1:5" x14ac:dyDescent="0.25">
      <c r="A22" s="213" t="s">
        <v>515</v>
      </c>
      <c r="B22" s="210">
        <f t="shared" si="0"/>
        <v>1044764</v>
      </c>
      <c r="C22" s="214"/>
      <c r="D22" s="214">
        <v>927694</v>
      </c>
      <c r="E22" s="215">
        <v>117070</v>
      </c>
    </row>
    <row r="23" spans="1:5" x14ac:dyDescent="0.25">
      <c r="A23" s="213" t="s">
        <v>514</v>
      </c>
      <c r="B23" s="210">
        <f t="shared" si="0"/>
        <v>350092</v>
      </c>
      <c r="C23" s="214"/>
      <c r="D23" s="214">
        <v>301291</v>
      </c>
      <c r="E23" s="215">
        <v>48801</v>
      </c>
    </row>
    <row r="24" spans="1:5" x14ac:dyDescent="0.25">
      <c r="A24" s="213" t="s">
        <v>513</v>
      </c>
      <c r="B24" s="210">
        <f t="shared" si="0"/>
        <v>971840</v>
      </c>
      <c r="C24" s="214"/>
      <c r="D24" s="214">
        <v>838520</v>
      </c>
      <c r="E24" s="215">
        <v>133320</v>
      </c>
    </row>
    <row r="25" spans="1:5" x14ac:dyDescent="0.25">
      <c r="A25" s="213" t="s">
        <v>512</v>
      </c>
      <c r="B25" s="210">
        <f t="shared" si="0"/>
        <v>998123</v>
      </c>
      <c r="C25" s="214"/>
      <c r="D25" s="214">
        <v>866857</v>
      </c>
      <c r="E25" s="215">
        <v>131266</v>
      </c>
    </row>
    <row r="26" spans="1:5" x14ac:dyDescent="0.25">
      <c r="A26" s="213" t="s">
        <v>511</v>
      </c>
      <c r="B26" s="210">
        <f t="shared" si="0"/>
        <v>1026817</v>
      </c>
      <c r="C26" s="214"/>
      <c r="D26" s="214">
        <v>890081</v>
      </c>
      <c r="E26" s="215">
        <v>136736</v>
      </c>
    </row>
    <row r="27" spans="1:5" x14ac:dyDescent="0.25">
      <c r="A27" s="213" t="s">
        <v>510</v>
      </c>
      <c r="B27" s="210">
        <f t="shared" si="0"/>
        <v>780370</v>
      </c>
      <c r="C27" s="214"/>
      <c r="D27" s="214">
        <v>592435</v>
      </c>
      <c r="E27" s="215">
        <v>187935</v>
      </c>
    </row>
    <row r="28" spans="1:5" x14ac:dyDescent="0.25">
      <c r="A28" s="213" t="s">
        <v>509</v>
      </c>
      <c r="B28" s="210">
        <f t="shared" si="0"/>
        <v>779941</v>
      </c>
      <c r="C28" s="214"/>
      <c r="D28" s="214">
        <v>697144</v>
      </c>
      <c r="E28" s="215">
        <v>82797</v>
      </c>
    </row>
    <row r="29" spans="1:5" x14ac:dyDescent="0.25">
      <c r="A29" s="213" t="s">
        <v>508</v>
      </c>
      <c r="B29" s="210">
        <f t="shared" si="0"/>
        <v>838265</v>
      </c>
      <c r="C29" s="214"/>
      <c r="D29" s="214">
        <v>645420</v>
      </c>
      <c r="E29" s="215">
        <v>192845</v>
      </c>
    </row>
    <row r="30" spans="1:5" x14ac:dyDescent="0.25">
      <c r="A30" s="213" t="s">
        <v>507</v>
      </c>
      <c r="B30" s="210">
        <f t="shared" si="0"/>
        <v>509583</v>
      </c>
      <c r="C30" s="214"/>
      <c r="D30" s="214">
        <v>414443</v>
      </c>
      <c r="E30" s="215">
        <v>95140</v>
      </c>
    </row>
    <row r="31" spans="1:5" x14ac:dyDescent="0.25">
      <c r="A31" s="213" t="s">
        <v>506</v>
      </c>
      <c r="B31" s="210">
        <f t="shared" si="0"/>
        <v>288478</v>
      </c>
      <c r="C31" s="214"/>
      <c r="D31" s="214">
        <v>238447</v>
      </c>
      <c r="E31" s="215">
        <v>50031</v>
      </c>
    </row>
    <row r="32" spans="1:5" x14ac:dyDescent="0.25">
      <c r="A32" s="213" t="s">
        <v>505</v>
      </c>
      <c r="B32" s="210">
        <f t="shared" si="0"/>
        <v>1066438</v>
      </c>
      <c r="C32" s="214"/>
      <c r="D32" s="214">
        <v>894388</v>
      </c>
      <c r="E32" s="215">
        <v>172050</v>
      </c>
    </row>
    <row r="33" spans="1:5" x14ac:dyDescent="0.25">
      <c r="A33" s="213" t="s">
        <v>504</v>
      </c>
      <c r="B33" s="210">
        <f t="shared" si="0"/>
        <v>343236</v>
      </c>
      <c r="C33" s="214"/>
      <c r="D33" s="214">
        <v>275200</v>
      </c>
      <c r="E33" s="215">
        <v>68036</v>
      </c>
    </row>
    <row r="34" spans="1:5" x14ac:dyDescent="0.25">
      <c r="A34" s="213" t="s">
        <v>503</v>
      </c>
      <c r="B34" s="210">
        <f t="shared" si="0"/>
        <v>1084704</v>
      </c>
      <c r="C34" s="214"/>
      <c r="D34" s="214">
        <v>938200</v>
      </c>
      <c r="E34" s="215">
        <v>146504</v>
      </c>
    </row>
    <row r="35" spans="1:5" x14ac:dyDescent="0.25">
      <c r="A35" s="213" t="s">
        <v>502</v>
      </c>
      <c r="B35" s="210">
        <f t="shared" si="0"/>
        <v>122828</v>
      </c>
      <c r="C35" s="214"/>
      <c r="D35" s="214">
        <v>116936</v>
      </c>
      <c r="E35" s="215">
        <v>5892</v>
      </c>
    </row>
    <row r="36" spans="1:5" x14ac:dyDescent="0.25">
      <c r="A36" s="213" t="s">
        <v>501</v>
      </c>
      <c r="B36" s="210">
        <f t="shared" si="0"/>
        <v>1185788</v>
      </c>
      <c r="C36" s="214"/>
      <c r="D36" s="214">
        <v>970020</v>
      </c>
      <c r="E36" s="215">
        <v>215768</v>
      </c>
    </row>
    <row r="37" spans="1:5" x14ac:dyDescent="0.25">
      <c r="A37" s="216" t="s">
        <v>399</v>
      </c>
      <c r="B37" s="210">
        <f t="shared" si="0"/>
        <v>5093018</v>
      </c>
      <c r="C37" s="214">
        <v>3725000</v>
      </c>
      <c r="D37" s="214">
        <v>425068</v>
      </c>
      <c r="E37" s="215">
        <v>942950</v>
      </c>
    </row>
    <row r="38" spans="1:5" ht="14.25" customHeight="1" x14ac:dyDescent="0.25">
      <c r="A38" s="213" t="s">
        <v>400</v>
      </c>
      <c r="B38" s="210">
        <f t="shared" si="0"/>
        <v>133146</v>
      </c>
      <c r="C38" s="214"/>
      <c r="D38" s="214">
        <v>60210</v>
      </c>
      <c r="E38" s="215">
        <v>72936</v>
      </c>
    </row>
    <row r="40" spans="1:5" x14ac:dyDescent="0.25">
      <c r="A40" s="172"/>
    </row>
    <row r="41" spans="1:5" x14ac:dyDescent="0.25">
      <c r="A41" s="172"/>
    </row>
    <row r="42" spans="1:5" x14ac:dyDescent="0.25">
      <c r="A42" s="94"/>
    </row>
    <row r="43" spans="1:5" x14ac:dyDescent="0.25">
      <c r="A43" s="94"/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RowHeight="12.75" x14ac:dyDescent="0.2"/>
  <cols>
    <col min="1" max="1" width="29" style="101" bestFit="1" customWidth="1"/>
    <col min="2" max="2" width="6.42578125" style="101" bestFit="1" customWidth="1"/>
    <col min="3" max="3" width="6" style="173" bestFit="1" customWidth="1"/>
    <col min="4" max="4" width="6.85546875" style="101" hidden="1" customWidth="1"/>
    <col min="5" max="5" width="10.7109375" style="102" customWidth="1"/>
    <col min="6" max="6" width="7.5703125" style="102" hidden="1" customWidth="1"/>
    <col min="7" max="7" width="7.42578125" style="101" hidden="1" customWidth="1"/>
    <col min="8" max="9" width="7.140625" style="101" hidden="1" customWidth="1"/>
    <col min="10" max="10" width="7.42578125" style="101" hidden="1" customWidth="1"/>
    <col min="11" max="12" width="7.140625" style="101" hidden="1" customWidth="1"/>
    <col min="13" max="13" width="9.140625" style="101" hidden="1" customWidth="1"/>
    <col min="14" max="14" width="11.42578125" style="101" customWidth="1"/>
    <col min="15" max="15" width="9" style="101" customWidth="1"/>
    <col min="16" max="16" width="5.42578125" style="101" hidden="1" customWidth="1"/>
    <col min="17" max="17" width="7.42578125" style="101" hidden="1" customWidth="1"/>
    <col min="18" max="19" width="6.42578125" style="101" hidden="1" customWidth="1"/>
    <col min="20" max="20" width="9.42578125" style="101" customWidth="1"/>
    <col min="21" max="22" width="6.42578125" style="101" hidden="1" customWidth="1"/>
    <col min="23" max="23" width="5.42578125" style="101" hidden="1" customWidth="1"/>
    <col min="24" max="24" width="7.42578125" style="101" hidden="1" customWidth="1"/>
    <col min="25" max="25" width="5.42578125" style="101" hidden="1" customWidth="1"/>
    <col min="26" max="27" width="6.42578125" style="101" hidden="1" customWidth="1"/>
    <col min="28" max="29" width="5.42578125" style="101" hidden="1" customWidth="1"/>
    <col min="30" max="30" width="6.42578125" style="101" hidden="1" customWidth="1"/>
    <col min="31" max="31" width="7.42578125" style="101" hidden="1" customWidth="1"/>
    <col min="32" max="32" width="5.42578125" style="101" hidden="1" customWidth="1"/>
    <col min="33" max="33" width="5.140625" style="101" hidden="1" customWidth="1"/>
    <col min="34" max="34" width="6.42578125" style="101" hidden="1" customWidth="1"/>
    <col min="35" max="36" width="7.5703125" style="101" hidden="1" customWidth="1"/>
    <col min="37" max="37" width="12.5703125" style="101" customWidth="1"/>
    <col min="38" max="38" width="12.5703125" style="101" bestFit="1" customWidth="1"/>
    <col min="39" max="39" width="12.5703125" style="101" customWidth="1"/>
    <col min="40" max="40" width="12.5703125" style="101" bestFit="1" customWidth="1"/>
    <col min="41" max="41" width="12.5703125" style="101" customWidth="1"/>
    <col min="42" max="42" width="12.5703125" style="101" bestFit="1" customWidth="1"/>
    <col min="43" max="43" width="12.5703125" style="101" customWidth="1"/>
    <col min="44" max="44" width="12.5703125" style="101" bestFit="1" customWidth="1"/>
    <col min="45" max="45" width="12.5703125" style="101" customWidth="1"/>
    <col min="46" max="46" width="12.5703125" style="101" bestFit="1" customWidth="1"/>
    <col min="47" max="47" width="12.5703125" style="101" customWidth="1"/>
    <col min="48" max="48" width="12.5703125" style="101" bestFit="1" customWidth="1"/>
    <col min="49" max="49" width="12.5703125" style="101" customWidth="1"/>
    <col min="50" max="50" width="12.5703125" style="101" bestFit="1" customWidth="1"/>
    <col min="51" max="51" width="12.5703125" style="101" customWidth="1"/>
    <col min="52" max="52" width="12.5703125" style="101" bestFit="1" customWidth="1"/>
    <col min="53" max="53" width="12.5703125" style="101" customWidth="1"/>
    <col min="54" max="54" width="12.5703125" style="101" bestFit="1" customWidth="1"/>
    <col min="55" max="55" width="12.5703125" style="101" customWidth="1"/>
    <col min="56" max="56" width="12.5703125" style="101" bestFit="1" customWidth="1"/>
    <col min="57" max="57" width="12.5703125" style="101" customWidth="1"/>
    <col min="58" max="58" width="12.5703125" style="101" bestFit="1" customWidth="1"/>
    <col min="59" max="59" width="12.5703125" style="101" customWidth="1"/>
    <col min="60" max="60" width="12.5703125" style="101" bestFit="1" customWidth="1"/>
    <col min="61" max="61" width="12.5703125" style="101" customWidth="1"/>
    <col min="62" max="62" width="12.5703125" style="101" bestFit="1" customWidth="1"/>
    <col min="63" max="63" width="12.5703125" style="101" customWidth="1"/>
    <col min="64" max="64" width="12.5703125" style="101" bestFit="1" customWidth="1"/>
    <col min="65" max="65" width="12.5703125" style="101" customWidth="1"/>
    <col min="66" max="66" width="11.7109375" style="101" bestFit="1" customWidth="1"/>
    <col min="67" max="67" width="12.7109375" style="101" bestFit="1" customWidth="1"/>
    <col min="68" max="68" width="9" style="101" bestFit="1" customWidth="1"/>
    <col min="69" max="69" width="12.7109375" style="101" bestFit="1" customWidth="1"/>
    <col min="70" max="70" width="9" style="101" bestFit="1" customWidth="1"/>
    <col min="71" max="71" width="12.7109375" style="101" bestFit="1" customWidth="1"/>
    <col min="72" max="72" width="9" style="101" bestFit="1" customWidth="1"/>
    <col min="73" max="73" width="12.7109375" style="101" bestFit="1" customWidth="1"/>
    <col min="74" max="74" width="9" style="101" bestFit="1" customWidth="1"/>
    <col min="75" max="75" width="12.7109375" style="101" bestFit="1" customWidth="1"/>
    <col min="76" max="76" width="9" style="101" bestFit="1" customWidth="1"/>
    <col min="77" max="77" width="12.7109375" style="101" bestFit="1" customWidth="1"/>
    <col min="78" max="78" width="9" style="101" bestFit="1" customWidth="1"/>
    <col min="79" max="79" width="12.7109375" style="101" bestFit="1" customWidth="1"/>
    <col min="80" max="80" width="9" style="101" bestFit="1" customWidth="1"/>
    <col min="81" max="81" width="12.7109375" style="101" bestFit="1" customWidth="1"/>
    <col min="82" max="82" width="9" style="101" bestFit="1" customWidth="1"/>
    <col min="83" max="83" width="12.7109375" style="101" bestFit="1" customWidth="1"/>
    <col min="84" max="84" width="9" style="101" bestFit="1" customWidth="1"/>
    <col min="85" max="85" width="12.7109375" style="101" bestFit="1" customWidth="1"/>
    <col min="86" max="86" width="9" style="101" bestFit="1" customWidth="1"/>
    <col min="87" max="87" width="12.7109375" style="101" bestFit="1" customWidth="1"/>
    <col min="88" max="88" width="9" style="101" bestFit="1" customWidth="1"/>
    <col min="89" max="89" width="12.7109375" style="101" bestFit="1" customWidth="1"/>
    <col min="90" max="90" width="9" style="101" bestFit="1" customWidth="1"/>
    <col min="91" max="91" width="12.7109375" style="101" bestFit="1" customWidth="1"/>
    <col min="92" max="92" width="9" style="101" bestFit="1" customWidth="1"/>
    <col min="93" max="93" width="12.7109375" style="101" bestFit="1" customWidth="1"/>
    <col min="94" max="94" width="9" style="101" bestFit="1" customWidth="1"/>
    <col min="95" max="95" width="12.7109375" style="101" bestFit="1" customWidth="1"/>
    <col min="96" max="96" width="9" style="101" bestFit="1" customWidth="1"/>
    <col min="97" max="97" width="12.7109375" style="101" bestFit="1" customWidth="1"/>
    <col min="98" max="98" width="9" style="101" bestFit="1" customWidth="1"/>
    <col min="99" max="99" width="12.7109375" style="101" bestFit="1" customWidth="1"/>
    <col min="100" max="100" width="9" style="101" bestFit="1" customWidth="1"/>
    <col min="101" max="101" width="12.7109375" style="101" bestFit="1" customWidth="1"/>
    <col min="102" max="102" width="9" style="101" bestFit="1" customWidth="1"/>
    <col min="103" max="103" width="12.7109375" style="101" bestFit="1" customWidth="1"/>
    <col min="104" max="104" width="9" style="101" bestFit="1" customWidth="1"/>
    <col min="105" max="105" width="12.7109375" style="101" bestFit="1" customWidth="1"/>
    <col min="106" max="106" width="9" style="101" bestFit="1" customWidth="1"/>
    <col min="107" max="107" width="12.7109375" style="101" bestFit="1" customWidth="1"/>
    <col min="108" max="108" width="9" style="101" bestFit="1" customWidth="1"/>
    <col min="109" max="109" width="12.7109375" style="101" bestFit="1" customWidth="1"/>
    <col min="110" max="110" width="9" style="101" bestFit="1" customWidth="1"/>
    <col min="111" max="111" width="12.7109375" style="101" bestFit="1" customWidth="1"/>
    <col min="112" max="112" width="9" style="101" bestFit="1" customWidth="1"/>
    <col min="113" max="113" width="12.7109375" style="101" bestFit="1" customWidth="1"/>
    <col min="114" max="114" width="9" style="101" bestFit="1" customWidth="1"/>
    <col min="115" max="115" width="12.7109375" style="101" bestFit="1" customWidth="1"/>
    <col min="116" max="116" width="9" style="101" bestFit="1" customWidth="1"/>
    <col min="117" max="117" width="12.7109375" style="101" bestFit="1" customWidth="1"/>
    <col min="118" max="118" width="9" style="101" bestFit="1" customWidth="1"/>
    <col min="119" max="119" width="12.7109375" style="101" bestFit="1" customWidth="1"/>
    <col min="120" max="120" width="9" style="101" bestFit="1" customWidth="1"/>
    <col min="121" max="121" width="12.7109375" style="101" bestFit="1" customWidth="1"/>
    <col min="122" max="122" width="11.7109375" style="101" bestFit="1" customWidth="1"/>
    <col min="123" max="16384" width="9.140625" style="101"/>
  </cols>
  <sheetData>
    <row r="1" spans="1:36" ht="15.75" x14ac:dyDescent="0.25">
      <c r="A1" s="357" t="s">
        <v>443</v>
      </c>
      <c r="B1" s="358"/>
      <c r="C1" s="359"/>
      <c r="D1" s="358"/>
      <c r="E1" s="360"/>
      <c r="F1" s="360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</row>
    <row r="2" spans="1:36" ht="15.75" x14ac:dyDescent="0.25">
      <c r="A2" s="357" t="s">
        <v>418</v>
      </c>
      <c r="B2" s="358"/>
      <c r="C2" s="359"/>
      <c r="D2" s="358"/>
      <c r="E2" s="360"/>
      <c r="F2" s="360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</row>
    <row r="3" spans="1:36" ht="16.5" thickBot="1" x14ac:dyDescent="0.3">
      <c r="A3" s="357"/>
      <c r="B3" s="358"/>
      <c r="C3" s="359"/>
      <c r="D3" s="358"/>
      <c r="E3" s="358" t="s">
        <v>384</v>
      </c>
      <c r="F3" s="360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</row>
    <row r="4" spans="1:36" s="102" customFormat="1" ht="89.25" thickBot="1" x14ac:dyDescent="0.25">
      <c r="A4" s="174" t="s">
        <v>350</v>
      </c>
      <c r="B4" s="264" t="s">
        <v>322</v>
      </c>
      <c r="C4" s="264" t="s">
        <v>421</v>
      </c>
      <c r="D4" s="265" t="s">
        <v>351</v>
      </c>
      <c r="E4" s="267" t="s">
        <v>551</v>
      </c>
      <c r="F4" s="266" t="s">
        <v>386</v>
      </c>
      <c r="G4" s="264">
        <v>322050</v>
      </c>
      <c r="H4" s="264">
        <v>322090</v>
      </c>
      <c r="I4" s="264" t="s">
        <v>327</v>
      </c>
      <c r="J4" s="264">
        <v>323320</v>
      </c>
      <c r="K4" s="264">
        <v>323390</v>
      </c>
      <c r="L4" s="175" t="s">
        <v>387</v>
      </c>
      <c r="M4" s="175" t="s">
        <v>388</v>
      </c>
      <c r="N4" s="267" t="s">
        <v>193</v>
      </c>
      <c r="O4" s="287" t="s">
        <v>5</v>
      </c>
      <c r="P4" s="264">
        <v>5001</v>
      </c>
      <c r="Q4" s="264" t="s">
        <v>354</v>
      </c>
      <c r="R4" s="264" t="s">
        <v>355</v>
      </c>
      <c r="S4" s="264">
        <v>5060</v>
      </c>
      <c r="T4" s="264" t="s">
        <v>7</v>
      </c>
      <c r="U4" s="176" t="s">
        <v>356</v>
      </c>
      <c r="V4" s="176" t="s">
        <v>357</v>
      </c>
      <c r="W4" s="176" t="s">
        <v>358</v>
      </c>
      <c r="X4" s="176" t="s">
        <v>359</v>
      </c>
      <c r="Y4" s="176" t="s">
        <v>360</v>
      </c>
      <c r="Z4" s="176" t="s">
        <v>361</v>
      </c>
      <c r="AA4" s="176" t="s">
        <v>362</v>
      </c>
      <c r="AB4" s="176">
        <v>5521</v>
      </c>
      <c r="AC4" s="176" t="s">
        <v>363</v>
      </c>
      <c r="AD4" s="176" t="s">
        <v>364</v>
      </c>
      <c r="AE4" s="176" t="s">
        <v>365</v>
      </c>
      <c r="AF4" s="176" t="s">
        <v>366</v>
      </c>
      <c r="AG4" s="176" t="s">
        <v>367</v>
      </c>
      <c r="AH4" s="177" t="s">
        <v>389</v>
      </c>
      <c r="AI4" s="178" t="s">
        <v>390</v>
      </c>
      <c r="AJ4" s="179" t="s">
        <v>391</v>
      </c>
    </row>
    <row r="5" spans="1:36" s="102" customFormat="1" ht="13.5" thickBot="1" x14ac:dyDescent="0.25">
      <c r="A5" s="180" t="s">
        <v>346</v>
      </c>
      <c r="B5" s="181"/>
      <c r="C5" s="182"/>
      <c r="D5" s="183"/>
      <c r="E5" s="361">
        <v>32</v>
      </c>
      <c r="F5" s="286">
        <v>3220</v>
      </c>
      <c r="G5" s="285"/>
      <c r="H5" s="285"/>
      <c r="I5" s="285">
        <v>3233</v>
      </c>
      <c r="J5" s="180"/>
      <c r="K5" s="180"/>
      <c r="L5" s="180">
        <v>3238</v>
      </c>
      <c r="M5" s="185">
        <v>3500</v>
      </c>
      <c r="N5" s="184"/>
      <c r="O5" s="286">
        <v>50</v>
      </c>
      <c r="P5" s="285"/>
      <c r="Q5" s="285"/>
      <c r="R5" s="285"/>
      <c r="S5" s="285"/>
      <c r="T5" s="285">
        <v>55</v>
      </c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>
        <v>45</v>
      </c>
      <c r="AI5" s="178"/>
      <c r="AJ5" s="179"/>
    </row>
    <row r="6" spans="1:36" s="102" customFormat="1" ht="13.5" thickBot="1" x14ac:dyDescent="0.25">
      <c r="A6" s="186" t="s">
        <v>368</v>
      </c>
      <c r="B6" s="186"/>
      <c r="C6" s="187" t="s">
        <v>32</v>
      </c>
      <c r="D6" s="188"/>
      <c r="E6" s="190">
        <f t="shared" ref="E6:E25" si="0">SUM(F6,I6,M6)</f>
        <v>490871</v>
      </c>
      <c r="F6" s="117">
        <f t="shared" ref="F6:K6" si="1">SUM(F7:F23)</f>
        <v>258976</v>
      </c>
      <c r="G6" s="117">
        <f t="shared" si="1"/>
        <v>130267</v>
      </c>
      <c r="H6" s="117">
        <f t="shared" si="1"/>
        <v>128709</v>
      </c>
      <c r="I6" s="117">
        <f t="shared" si="1"/>
        <v>231895</v>
      </c>
      <c r="J6" s="117">
        <f t="shared" si="1"/>
        <v>166974</v>
      </c>
      <c r="K6" s="117">
        <f t="shared" si="1"/>
        <v>64921</v>
      </c>
      <c r="L6" s="189">
        <f>SUM(L7:L18)</f>
        <v>0</v>
      </c>
      <c r="M6" s="189">
        <f>SUM(M7:M18)</f>
        <v>0</v>
      </c>
      <c r="N6" s="190">
        <f t="shared" ref="N6:N26" si="2">SUM(O6,T6,AH6)</f>
        <v>490871</v>
      </c>
      <c r="O6" s="117">
        <f t="shared" ref="O6:AJ6" si="3">SUM(O7:O23)</f>
        <v>255397</v>
      </c>
      <c r="P6" s="117">
        <f t="shared" si="3"/>
        <v>0</v>
      </c>
      <c r="Q6" s="117">
        <f t="shared" si="3"/>
        <v>189213</v>
      </c>
      <c r="R6" s="117">
        <f t="shared" si="3"/>
        <v>2000</v>
      </c>
      <c r="S6" s="117">
        <f t="shared" si="3"/>
        <v>64184</v>
      </c>
      <c r="T6" s="117">
        <f t="shared" si="3"/>
        <v>235474</v>
      </c>
      <c r="U6" s="117">
        <f t="shared" si="3"/>
        <v>7673</v>
      </c>
      <c r="V6" s="117">
        <f t="shared" si="3"/>
        <v>17500</v>
      </c>
      <c r="W6" s="117">
        <f t="shared" si="3"/>
        <v>3020</v>
      </c>
      <c r="X6" s="117">
        <f t="shared" si="3"/>
        <v>113997</v>
      </c>
      <c r="Y6" s="117">
        <f t="shared" si="3"/>
        <v>0</v>
      </c>
      <c r="Z6" s="117">
        <f t="shared" si="3"/>
        <v>10200</v>
      </c>
      <c r="AA6" s="117">
        <f t="shared" si="3"/>
        <v>24731</v>
      </c>
      <c r="AB6" s="117">
        <f t="shared" si="3"/>
        <v>0</v>
      </c>
      <c r="AC6" s="117">
        <f t="shared" si="3"/>
        <v>1700</v>
      </c>
      <c r="AD6" s="117">
        <f t="shared" si="3"/>
        <v>14828</v>
      </c>
      <c r="AE6" s="117">
        <f t="shared" si="3"/>
        <v>41425</v>
      </c>
      <c r="AF6" s="117">
        <f t="shared" si="3"/>
        <v>200</v>
      </c>
      <c r="AG6" s="117">
        <f t="shared" si="3"/>
        <v>200</v>
      </c>
      <c r="AH6" s="117">
        <f t="shared" si="3"/>
        <v>0</v>
      </c>
      <c r="AI6" s="117">
        <f t="shared" si="3"/>
        <v>0</v>
      </c>
      <c r="AJ6" s="117">
        <f t="shared" si="3"/>
        <v>0</v>
      </c>
    </row>
    <row r="7" spans="1:36" x14ac:dyDescent="0.2">
      <c r="A7" s="191" t="s">
        <v>531</v>
      </c>
      <c r="B7" s="191">
        <v>23</v>
      </c>
      <c r="C7" s="362"/>
      <c r="D7" s="363"/>
      <c r="E7" s="364">
        <f t="shared" si="0"/>
        <v>12025</v>
      </c>
      <c r="F7" s="365">
        <f t="shared" ref="F7:F26" si="4">SUM(G7:H7)</f>
        <v>0</v>
      </c>
      <c r="G7" s="366">
        <v>0</v>
      </c>
      <c r="H7" s="366">
        <v>0</v>
      </c>
      <c r="I7" s="226">
        <f t="shared" ref="I7:I26" si="5">SUM(J7:K7)</f>
        <v>12025</v>
      </c>
      <c r="J7" s="366">
        <v>8225</v>
      </c>
      <c r="K7" s="366">
        <v>3800</v>
      </c>
      <c r="L7" s="226"/>
      <c r="M7" s="367"/>
      <c r="N7" s="192">
        <f t="shared" si="2"/>
        <v>12025</v>
      </c>
      <c r="O7" s="368">
        <f t="shared" ref="O7:O26" si="6">SUM(P7:S7)</f>
        <v>4549</v>
      </c>
      <c r="P7" s="366"/>
      <c r="Q7" s="366">
        <v>3400</v>
      </c>
      <c r="R7" s="366"/>
      <c r="S7" s="366">
        <v>1149</v>
      </c>
      <c r="T7" s="366">
        <f t="shared" ref="T7:T26" si="7">SUM(U7:AG7)</f>
        <v>7476</v>
      </c>
      <c r="U7" s="366"/>
      <c r="V7" s="366"/>
      <c r="W7" s="366"/>
      <c r="X7" s="366"/>
      <c r="Y7" s="366"/>
      <c r="Z7" s="366">
        <v>1500</v>
      </c>
      <c r="AA7" s="366">
        <v>2000</v>
      </c>
      <c r="AB7" s="366"/>
      <c r="AC7" s="366"/>
      <c r="AD7" s="366">
        <v>1000</v>
      </c>
      <c r="AE7" s="366">
        <v>2976</v>
      </c>
      <c r="AF7" s="366"/>
      <c r="AG7" s="366"/>
      <c r="AH7" s="366">
        <f t="shared" ref="AH7:AH26" si="8">SUM(AI7:AJ7)</f>
        <v>0</v>
      </c>
      <c r="AI7" s="366"/>
      <c r="AJ7" s="369"/>
    </row>
    <row r="8" spans="1:36" x14ac:dyDescent="0.2">
      <c r="A8" s="171" t="s">
        <v>544</v>
      </c>
      <c r="B8" s="171">
        <v>23</v>
      </c>
      <c r="C8" s="193"/>
      <c r="D8" s="370"/>
      <c r="E8" s="371">
        <f t="shared" si="0"/>
        <v>20000</v>
      </c>
      <c r="F8" s="372">
        <f t="shared" si="4"/>
        <v>0</v>
      </c>
      <c r="G8" s="129">
        <v>0</v>
      </c>
      <c r="H8" s="129">
        <v>0</v>
      </c>
      <c r="I8" s="227">
        <f t="shared" si="5"/>
        <v>20000</v>
      </c>
      <c r="J8" s="129">
        <v>7000</v>
      </c>
      <c r="K8" s="129">
        <v>13000</v>
      </c>
      <c r="L8" s="227"/>
      <c r="M8" s="373"/>
      <c r="N8" s="194">
        <f t="shared" si="2"/>
        <v>20000</v>
      </c>
      <c r="O8" s="374">
        <f t="shared" si="6"/>
        <v>2007</v>
      </c>
      <c r="P8" s="129"/>
      <c r="Q8" s="129"/>
      <c r="R8" s="129">
        <v>1500</v>
      </c>
      <c r="S8" s="129">
        <v>507</v>
      </c>
      <c r="T8" s="129">
        <f t="shared" si="7"/>
        <v>17993</v>
      </c>
      <c r="U8" s="129">
        <v>2293</v>
      </c>
      <c r="V8" s="129"/>
      <c r="W8" s="129"/>
      <c r="X8" s="129">
        <v>7000</v>
      </c>
      <c r="Y8" s="129"/>
      <c r="Z8" s="129">
        <v>1700</v>
      </c>
      <c r="AA8" s="129">
        <v>400</v>
      </c>
      <c r="AB8" s="129"/>
      <c r="AC8" s="129">
        <v>1000</v>
      </c>
      <c r="AD8" s="129">
        <v>1200</v>
      </c>
      <c r="AE8" s="129">
        <v>4000</v>
      </c>
      <c r="AF8" s="129">
        <v>200</v>
      </c>
      <c r="AG8" s="129">
        <v>200</v>
      </c>
      <c r="AH8" s="129">
        <f t="shared" si="8"/>
        <v>0</v>
      </c>
      <c r="AI8" s="129"/>
      <c r="AJ8" s="130"/>
    </row>
    <row r="9" spans="1:36" x14ac:dyDescent="0.2">
      <c r="A9" s="171" t="s">
        <v>532</v>
      </c>
      <c r="B9" s="171">
        <v>23</v>
      </c>
      <c r="C9" s="193"/>
      <c r="D9" s="370"/>
      <c r="E9" s="371">
        <f t="shared" si="0"/>
        <v>26321</v>
      </c>
      <c r="F9" s="372">
        <f t="shared" si="4"/>
        <v>9521</v>
      </c>
      <c r="G9" s="129">
        <v>9021</v>
      </c>
      <c r="H9" s="129">
        <v>500</v>
      </c>
      <c r="I9" s="227">
        <f t="shared" si="5"/>
        <v>16800</v>
      </c>
      <c r="J9" s="129">
        <v>8000</v>
      </c>
      <c r="K9" s="129">
        <v>8800</v>
      </c>
      <c r="L9" s="227"/>
      <c r="M9" s="373"/>
      <c r="N9" s="194">
        <f t="shared" si="2"/>
        <v>26321</v>
      </c>
      <c r="O9" s="374">
        <f t="shared" si="6"/>
        <v>6021</v>
      </c>
      <c r="P9" s="129"/>
      <c r="Q9" s="129">
        <v>4500</v>
      </c>
      <c r="R9" s="129"/>
      <c r="S9" s="129">
        <v>1521</v>
      </c>
      <c r="T9" s="129">
        <f t="shared" si="7"/>
        <v>20300</v>
      </c>
      <c r="U9" s="129"/>
      <c r="V9" s="129"/>
      <c r="W9" s="129"/>
      <c r="X9" s="129">
        <v>8800</v>
      </c>
      <c r="Y9" s="129"/>
      <c r="Z9" s="129">
        <v>1000</v>
      </c>
      <c r="AA9" s="129">
        <v>2000</v>
      </c>
      <c r="AB9" s="129"/>
      <c r="AC9" s="129"/>
      <c r="AD9" s="129">
        <v>4000</v>
      </c>
      <c r="AE9" s="129">
        <v>4500</v>
      </c>
      <c r="AF9" s="129"/>
      <c r="AG9" s="129"/>
      <c r="AH9" s="129">
        <f t="shared" si="8"/>
        <v>0</v>
      </c>
      <c r="AI9" s="129"/>
      <c r="AJ9" s="130"/>
    </row>
    <row r="10" spans="1:36" x14ac:dyDescent="0.2">
      <c r="A10" s="171" t="s">
        <v>533</v>
      </c>
      <c r="B10" s="171">
        <v>23</v>
      </c>
      <c r="C10" s="193"/>
      <c r="D10" s="370"/>
      <c r="E10" s="371">
        <f t="shared" si="0"/>
        <v>20471</v>
      </c>
      <c r="F10" s="372">
        <f t="shared" si="4"/>
        <v>9901</v>
      </c>
      <c r="G10" s="129">
        <v>3880</v>
      </c>
      <c r="H10" s="129">
        <v>6021</v>
      </c>
      <c r="I10" s="227">
        <f t="shared" si="5"/>
        <v>10570</v>
      </c>
      <c r="J10" s="129">
        <v>4549</v>
      </c>
      <c r="K10" s="129">
        <v>6021</v>
      </c>
      <c r="L10" s="227"/>
      <c r="M10" s="373"/>
      <c r="N10" s="194">
        <f t="shared" si="2"/>
        <v>20471</v>
      </c>
      <c r="O10" s="374">
        <f t="shared" si="6"/>
        <v>20471</v>
      </c>
      <c r="P10" s="129"/>
      <c r="Q10" s="129">
        <v>15300</v>
      </c>
      <c r="R10" s="129"/>
      <c r="S10" s="129">
        <v>5171</v>
      </c>
      <c r="T10" s="129">
        <f t="shared" si="7"/>
        <v>0</v>
      </c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>
        <f t="shared" si="8"/>
        <v>0</v>
      </c>
      <c r="AI10" s="129"/>
      <c r="AJ10" s="130"/>
    </row>
    <row r="11" spans="1:36" x14ac:dyDescent="0.2">
      <c r="A11" s="171" t="s">
        <v>534</v>
      </c>
      <c r="B11" s="171">
        <v>23</v>
      </c>
      <c r="C11" s="193"/>
      <c r="D11" s="370"/>
      <c r="E11" s="371">
        <f t="shared" si="0"/>
        <v>27500</v>
      </c>
      <c r="F11" s="372">
        <f t="shared" si="4"/>
        <v>7500</v>
      </c>
      <c r="G11" s="129">
        <v>7500</v>
      </c>
      <c r="H11" s="129">
        <v>0</v>
      </c>
      <c r="I11" s="227">
        <f t="shared" si="5"/>
        <v>20000</v>
      </c>
      <c r="J11" s="129">
        <v>10000</v>
      </c>
      <c r="K11" s="129">
        <v>10000</v>
      </c>
      <c r="L11" s="227"/>
      <c r="M11" s="373"/>
      <c r="N11" s="194">
        <f t="shared" si="2"/>
        <v>27500</v>
      </c>
      <c r="O11" s="374">
        <f t="shared" si="6"/>
        <v>6631</v>
      </c>
      <c r="P11" s="129"/>
      <c r="Q11" s="129">
        <v>4956</v>
      </c>
      <c r="R11" s="129"/>
      <c r="S11" s="129">
        <v>1675</v>
      </c>
      <c r="T11" s="129">
        <f t="shared" si="7"/>
        <v>20869</v>
      </c>
      <c r="U11" s="129"/>
      <c r="V11" s="129">
        <v>17500</v>
      </c>
      <c r="W11" s="129"/>
      <c r="X11" s="129">
        <v>2500</v>
      </c>
      <c r="Y11" s="129"/>
      <c r="Z11" s="129"/>
      <c r="AA11" s="129"/>
      <c r="AB11" s="129"/>
      <c r="AC11" s="129"/>
      <c r="AD11" s="129">
        <v>869</v>
      </c>
      <c r="AE11" s="129"/>
      <c r="AF11" s="129"/>
      <c r="AG11" s="129"/>
      <c r="AH11" s="129">
        <f t="shared" si="8"/>
        <v>0</v>
      </c>
      <c r="AI11" s="129"/>
      <c r="AJ11" s="130"/>
    </row>
    <row r="12" spans="1:36" x14ac:dyDescent="0.2">
      <c r="A12" s="171" t="s">
        <v>545</v>
      </c>
      <c r="B12" s="171">
        <v>23</v>
      </c>
      <c r="C12" s="193"/>
      <c r="D12" s="370"/>
      <c r="E12" s="371">
        <f t="shared" si="0"/>
        <v>131652</v>
      </c>
      <c r="F12" s="372">
        <f t="shared" si="4"/>
        <v>119652</v>
      </c>
      <c r="G12" s="129">
        <v>12070</v>
      </c>
      <c r="H12" s="129">
        <v>107582</v>
      </c>
      <c r="I12" s="227">
        <f t="shared" si="5"/>
        <v>12000</v>
      </c>
      <c r="J12" s="129">
        <v>12000</v>
      </c>
      <c r="K12" s="129">
        <v>0</v>
      </c>
      <c r="L12" s="227"/>
      <c r="M12" s="373"/>
      <c r="N12" s="194">
        <f t="shared" si="2"/>
        <v>131652</v>
      </c>
      <c r="O12" s="374">
        <f t="shared" si="6"/>
        <v>119183</v>
      </c>
      <c r="P12" s="129"/>
      <c r="Q12" s="129">
        <v>89410</v>
      </c>
      <c r="R12" s="129"/>
      <c r="S12" s="129">
        <v>29773</v>
      </c>
      <c r="T12" s="129">
        <f t="shared" si="7"/>
        <v>12469</v>
      </c>
      <c r="U12" s="129">
        <v>700</v>
      </c>
      <c r="V12" s="129"/>
      <c r="W12" s="129"/>
      <c r="X12" s="129">
        <v>7500</v>
      </c>
      <c r="Y12" s="129"/>
      <c r="Z12" s="129"/>
      <c r="AA12" s="129"/>
      <c r="AB12" s="129"/>
      <c r="AC12" s="129"/>
      <c r="AD12" s="129">
        <v>2000</v>
      </c>
      <c r="AE12" s="129">
        <v>2269</v>
      </c>
      <c r="AF12" s="129"/>
      <c r="AG12" s="129"/>
      <c r="AH12" s="129">
        <f t="shared" si="8"/>
        <v>0</v>
      </c>
      <c r="AI12" s="129"/>
      <c r="AJ12" s="130"/>
    </row>
    <row r="13" spans="1:36" x14ac:dyDescent="0.2">
      <c r="A13" s="171" t="s">
        <v>371</v>
      </c>
      <c r="B13" s="171">
        <v>23</v>
      </c>
      <c r="C13" s="193"/>
      <c r="D13" s="370"/>
      <c r="E13" s="371">
        <f t="shared" si="0"/>
        <v>15000</v>
      </c>
      <c r="F13" s="372">
        <f t="shared" si="4"/>
        <v>0</v>
      </c>
      <c r="G13" s="227"/>
      <c r="H13" s="227"/>
      <c r="I13" s="227">
        <f t="shared" si="5"/>
        <v>15000</v>
      </c>
      <c r="J13" s="129">
        <v>8000</v>
      </c>
      <c r="K13" s="129">
        <v>7000</v>
      </c>
      <c r="L13" s="227"/>
      <c r="M13" s="373"/>
      <c r="N13" s="194">
        <f t="shared" si="2"/>
        <v>15000</v>
      </c>
      <c r="O13" s="374">
        <f t="shared" si="6"/>
        <v>0</v>
      </c>
      <c r="P13" s="129"/>
      <c r="Q13" s="129"/>
      <c r="R13" s="129"/>
      <c r="S13" s="129"/>
      <c r="T13" s="129">
        <f t="shared" si="7"/>
        <v>15000</v>
      </c>
      <c r="U13" s="129"/>
      <c r="V13" s="129"/>
      <c r="W13" s="129"/>
      <c r="X13" s="129">
        <v>7000</v>
      </c>
      <c r="Y13" s="129"/>
      <c r="Z13" s="129"/>
      <c r="AA13" s="129"/>
      <c r="AB13" s="129"/>
      <c r="AC13" s="129"/>
      <c r="AD13" s="129"/>
      <c r="AE13" s="129">
        <v>8000</v>
      </c>
      <c r="AF13" s="129"/>
      <c r="AG13" s="129"/>
      <c r="AH13" s="129">
        <f t="shared" si="8"/>
        <v>0</v>
      </c>
      <c r="AI13" s="129"/>
      <c r="AJ13" s="130"/>
    </row>
    <row r="14" spans="1:36" x14ac:dyDescent="0.2">
      <c r="A14" s="171" t="s">
        <v>535</v>
      </c>
      <c r="B14" s="171">
        <v>23</v>
      </c>
      <c r="C14" s="193"/>
      <c r="D14" s="370"/>
      <c r="E14" s="371">
        <f t="shared" si="0"/>
        <v>15854</v>
      </c>
      <c r="F14" s="372">
        <f t="shared" si="4"/>
        <v>10854</v>
      </c>
      <c r="G14" s="129">
        <v>10854</v>
      </c>
      <c r="H14" s="129">
        <v>0</v>
      </c>
      <c r="I14" s="227">
        <f t="shared" si="5"/>
        <v>5000</v>
      </c>
      <c r="J14" s="129">
        <v>5000</v>
      </c>
      <c r="K14" s="129">
        <v>0</v>
      </c>
      <c r="L14" s="227"/>
      <c r="M14" s="373"/>
      <c r="N14" s="194">
        <f t="shared" si="2"/>
        <v>15854</v>
      </c>
      <c r="O14" s="374">
        <f t="shared" si="6"/>
        <v>11523</v>
      </c>
      <c r="P14" s="129"/>
      <c r="Q14" s="129">
        <v>8112</v>
      </c>
      <c r="R14" s="129">
        <v>500</v>
      </c>
      <c r="S14" s="129">
        <v>2911</v>
      </c>
      <c r="T14" s="129">
        <f t="shared" si="7"/>
        <v>4331</v>
      </c>
      <c r="U14" s="129"/>
      <c r="V14" s="129"/>
      <c r="W14" s="129"/>
      <c r="X14" s="129">
        <v>1500</v>
      </c>
      <c r="Y14" s="129"/>
      <c r="Z14" s="129">
        <v>2000</v>
      </c>
      <c r="AA14" s="129">
        <v>831</v>
      </c>
      <c r="AB14" s="129"/>
      <c r="AC14" s="129"/>
      <c r="AD14" s="129"/>
      <c r="AE14" s="129"/>
      <c r="AF14" s="129"/>
      <c r="AG14" s="129"/>
      <c r="AH14" s="129">
        <f t="shared" si="8"/>
        <v>0</v>
      </c>
      <c r="AI14" s="129"/>
      <c r="AJ14" s="130"/>
    </row>
    <row r="15" spans="1:36" x14ac:dyDescent="0.2">
      <c r="A15" s="171" t="s">
        <v>536</v>
      </c>
      <c r="B15" s="171">
        <v>23</v>
      </c>
      <c r="C15" s="193"/>
      <c r="D15" s="370"/>
      <c r="E15" s="371">
        <f t="shared" si="0"/>
        <v>19400</v>
      </c>
      <c r="F15" s="372">
        <f t="shared" si="4"/>
        <v>0</v>
      </c>
      <c r="G15" s="129">
        <v>0</v>
      </c>
      <c r="H15" s="129">
        <v>0</v>
      </c>
      <c r="I15" s="227">
        <f t="shared" si="5"/>
        <v>19400</v>
      </c>
      <c r="J15" s="129">
        <v>14000</v>
      </c>
      <c r="K15" s="129">
        <v>5400</v>
      </c>
      <c r="L15" s="227"/>
      <c r="M15" s="373"/>
      <c r="N15" s="194">
        <f t="shared" si="2"/>
        <v>19400</v>
      </c>
      <c r="O15" s="374">
        <f t="shared" si="6"/>
        <v>0</v>
      </c>
      <c r="P15" s="129"/>
      <c r="Q15" s="129"/>
      <c r="R15" s="129"/>
      <c r="S15" s="129"/>
      <c r="T15" s="129">
        <f t="shared" si="7"/>
        <v>19400</v>
      </c>
      <c r="U15" s="129"/>
      <c r="V15" s="129"/>
      <c r="W15" s="129"/>
      <c r="X15" s="129">
        <v>13400</v>
      </c>
      <c r="Y15" s="129"/>
      <c r="Z15" s="129"/>
      <c r="AA15" s="129">
        <v>1000</v>
      </c>
      <c r="AB15" s="129"/>
      <c r="AC15" s="129"/>
      <c r="AD15" s="129"/>
      <c r="AE15" s="129">
        <v>5000</v>
      </c>
      <c r="AF15" s="129"/>
      <c r="AG15" s="129"/>
      <c r="AH15" s="129">
        <f t="shared" si="8"/>
        <v>0</v>
      </c>
      <c r="AI15" s="129"/>
      <c r="AJ15" s="130"/>
    </row>
    <row r="16" spans="1:36" x14ac:dyDescent="0.2">
      <c r="A16" s="171" t="s">
        <v>537</v>
      </c>
      <c r="B16" s="171">
        <v>23</v>
      </c>
      <c r="C16" s="193"/>
      <c r="D16" s="370"/>
      <c r="E16" s="371">
        <f t="shared" si="0"/>
        <v>15000</v>
      </c>
      <c r="F16" s="372">
        <f t="shared" si="4"/>
        <v>3000</v>
      </c>
      <c r="G16" s="129">
        <v>3000</v>
      </c>
      <c r="H16" s="129">
        <v>0</v>
      </c>
      <c r="I16" s="227">
        <f t="shared" si="5"/>
        <v>12000</v>
      </c>
      <c r="J16" s="129">
        <v>12000</v>
      </c>
      <c r="K16" s="129">
        <v>0</v>
      </c>
      <c r="L16" s="227"/>
      <c r="M16" s="373"/>
      <c r="N16" s="194">
        <f t="shared" si="2"/>
        <v>15000</v>
      </c>
      <c r="O16" s="374">
        <f t="shared" si="6"/>
        <v>0</v>
      </c>
      <c r="P16" s="129"/>
      <c r="Q16" s="129"/>
      <c r="R16" s="129"/>
      <c r="S16" s="129"/>
      <c r="T16" s="129">
        <f t="shared" si="7"/>
        <v>15000</v>
      </c>
      <c r="U16" s="129"/>
      <c r="V16" s="129"/>
      <c r="W16" s="129">
        <v>320</v>
      </c>
      <c r="X16" s="129">
        <v>6000</v>
      </c>
      <c r="Y16" s="129"/>
      <c r="Z16" s="129">
        <v>2000</v>
      </c>
      <c r="AA16" s="129">
        <v>4000</v>
      </c>
      <c r="AB16" s="129"/>
      <c r="AC16" s="129"/>
      <c r="AD16" s="129"/>
      <c r="AE16" s="129">
        <v>2680</v>
      </c>
      <c r="AF16" s="129"/>
      <c r="AG16" s="129"/>
      <c r="AH16" s="129">
        <f t="shared" si="8"/>
        <v>0</v>
      </c>
      <c r="AI16" s="129"/>
      <c r="AJ16" s="130"/>
    </row>
    <row r="17" spans="1:36" x14ac:dyDescent="0.2">
      <c r="A17" s="171" t="s">
        <v>372</v>
      </c>
      <c r="B17" s="171">
        <v>23</v>
      </c>
      <c r="C17" s="193"/>
      <c r="D17" s="370"/>
      <c r="E17" s="371">
        <f t="shared" si="0"/>
        <v>10000</v>
      </c>
      <c r="F17" s="372">
        <f t="shared" si="4"/>
        <v>0</v>
      </c>
      <c r="G17" s="227"/>
      <c r="H17" s="227"/>
      <c r="I17" s="227">
        <f t="shared" si="5"/>
        <v>10000</v>
      </c>
      <c r="J17" s="129">
        <v>10000</v>
      </c>
      <c r="K17" s="129">
        <v>0</v>
      </c>
      <c r="L17" s="227"/>
      <c r="M17" s="373"/>
      <c r="N17" s="194">
        <f t="shared" si="2"/>
        <v>10000</v>
      </c>
      <c r="O17" s="374">
        <f t="shared" si="6"/>
        <v>0</v>
      </c>
      <c r="P17" s="129"/>
      <c r="Q17" s="129"/>
      <c r="R17" s="129"/>
      <c r="S17" s="129"/>
      <c r="T17" s="129">
        <f t="shared" si="7"/>
        <v>10000</v>
      </c>
      <c r="U17" s="129"/>
      <c r="V17" s="129"/>
      <c r="W17" s="129"/>
      <c r="X17" s="129">
        <v>5000</v>
      </c>
      <c r="Y17" s="129"/>
      <c r="Z17" s="129"/>
      <c r="AA17" s="129">
        <v>5000</v>
      </c>
      <c r="AB17" s="129"/>
      <c r="AC17" s="129"/>
      <c r="AD17" s="129"/>
      <c r="AE17" s="129"/>
      <c r="AF17" s="129"/>
      <c r="AG17" s="129"/>
      <c r="AH17" s="129">
        <f t="shared" si="8"/>
        <v>0</v>
      </c>
      <c r="AI17" s="129"/>
      <c r="AJ17" s="130"/>
    </row>
    <row r="18" spans="1:36" x14ac:dyDescent="0.2">
      <c r="A18" s="171" t="s">
        <v>539</v>
      </c>
      <c r="B18" s="171">
        <v>23</v>
      </c>
      <c r="C18" s="193"/>
      <c r="D18" s="370"/>
      <c r="E18" s="371">
        <f t="shared" si="0"/>
        <v>58000</v>
      </c>
      <c r="F18" s="372">
        <f t="shared" si="4"/>
        <v>31000</v>
      </c>
      <c r="G18" s="129">
        <v>25000</v>
      </c>
      <c r="H18" s="129">
        <v>6000</v>
      </c>
      <c r="I18" s="227">
        <f t="shared" si="5"/>
        <v>27000</v>
      </c>
      <c r="J18" s="129">
        <v>27000</v>
      </c>
      <c r="K18" s="129">
        <v>0</v>
      </c>
      <c r="L18" s="227"/>
      <c r="M18" s="373"/>
      <c r="N18" s="194">
        <f t="shared" si="2"/>
        <v>58000</v>
      </c>
      <c r="O18" s="374">
        <f t="shared" si="6"/>
        <v>27182</v>
      </c>
      <c r="P18" s="129"/>
      <c r="Q18" s="129">
        <v>20315</v>
      </c>
      <c r="R18" s="129"/>
      <c r="S18" s="129">
        <v>6867</v>
      </c>
      <c r="T18" s="129">
        <f t="shared" si="7"/>
        <v>30818</v>
      </c>
      <c r="U18" s="129">
        <v>2000</v>
      </c>
      <c r="V18" s="129"/>
      <c r="W18" s="129"/>
      <c r="X18" s="129">
        <v>16897</v>
      </c>
      <c r="Y18" s="129"/>
      <c r="Z18" s="129">
        <v>2000</v>
      </c>
      <c r="AA18" s="129">
        <v>1500</v>
      </c>
      <c r="AB18" s="129"/>
      <c r="AC18" s="129"/>
      <c r="AD18" s="129">
        <v>2421</v>
      </c>
      <c r="AE18" s="129">
        <v>6000</v>
      </c>
      <c r="AF18" s="129"/>
      <c r="AG18" s="129"/>
      <c r="AH18" s="129">
        <f t="shared" si="8"/>
        <v>0</v>
      </c>
      <c r="AI18" s="129"/>
      <c r="AJ18" s="130"/>
    </row>
    <row r="19" spans="1:36" x14ac:dyDescent="0.2">
      <c r="A19" s="171" t="s">
        <v>392</v>
      </c>
      <c r="B19" s="171">
        <v>23</v>
      </c>
      <c r="C19" s="193"/>
      <c r="D19" s="370"/>
      <c r="E19" s="371">
        <f t="shared" si="0"/>
        <v>69753</v>
      </c>
      <c r="F19" s="372">
        <f t="shared" si="4"/>
        <v>50753</v>
      </c>
      <c r="G19" s="129">
        <v>44147</v>
      </c>
      <c r="H19" s="129">
        <v>6606</v>
      </c>
      <c r="I19" s="227">
        <f t="shared" si="5"/>
        <v>19000</v>
      </c>
      <c r="J19" s="129">
        <v>12500</v>
      </c>
      <c r="K19" s="129">
        <v>6500</v>
      </c>
      <c r="L19" s="227"/>
      <c r="M19" s="373"/>
      <c r="N19" s="194">
        <f t="shared" si="2"/>
        <v>69753</v>
      </c>
      <c r="O19" s="374">
        <f t="shared" si="6"/>
        <v>43753</v>
      </c>
      <c r="P19" s="129"/>
      <c r="Q19" s="129">
        <v>32700</v>
      </c>
      <c r="R19" s="129"/>
      <c r="S19" s="129">
        <v>11053</v>
      </c>
      <c r="T19" s="129">
        <f t="shared" si="7"/>
        <v>26000</v>
      </c>
      <c r="U19" s="129">
        <v>1500</v>
      </c>
      <c r="V19" s="129"/>
      <c r="W19" s="129"/>
      <c r="X19" s="129">
        <v>9500</v>
      </c>
      <c r="Y19" s="129"/>
      <c r="Z19" s="129"/>
      <c r="AA19" s="129">
        <v>8000</v>
      </c>
      <c r="AB19" s="129"/>
      <c r="AC19" s="129"/>
      <c r="AD19" s="129">
        <v>2000</v>
      </c>
      <c r="AE19" s="129">
        <v>5000</v>
      </c>
      <c r="AF19" s="129"/>
      <c r="AG19" s="129"/>
      <c r="AH19" s="129">
        <f t="shared" si="8"/>
        <v>0</v>
      </c>
      <c r="AI19" s="129"/>
      <c r="AJ19" s="130"/>
    </row>
    <row r="20" spans="1:36" x14ac:dyDescent="0.2">
      <c r="A20" s="171" t="s">
        <v>540</v>
      </c>
      <c r="B20" s="171">
        <v>23</v>
      </c>
      <c r="C20" s="193"/>
      <c r="D20" s="370"/>
      <c r="E20" s="371">
        <f t="shared" si="0"/>
        <v>26200</v>
      </c>
      <c r="F20" s="372">
        <f t="shared" si="4"/>
        <v>7000</v>
      </c>
      <c r="G20" s="129">
        <v>5000</v>
      </c>
      <c r="H20" s="129">
        <v>2000</v>
      </c>
      <c r="I20" s="227">
        <f t="shared" si="5"/>
        <v>19200</v>
      </c>
      <c r="J20" s="129">
        <v>16000</v>
      </c>
      <c r="K20" s="129">
        <v>3200</v>
      </c>
      <c r="L20" s="227"/>
      <c r="M20" s="373"/>
      <c r="N20" s="194">
        <f t="shared" si="2"/>
        <v>26200</v>
      </c>
      <c r="O20" s="374">
        <f t="shared" si="6"/>
        <v>4282</v>
      </c>
      <c r="P20" s="129"/>
      <c r="Q20" s="129">
        <v>3200</v>
      </c>
      <c r="R20" s="129"/>
      <c r="S20" s="129">
        <v>1082</v>
      </c>
      <c r="T20" s="129">
        <f t="shared" si="7"/>
        <v>21918</v>
      </c>
      <c r="U20" s="129">
        <v>1180</v>
      </c>
      <c r="V20" s="129"/>
      <c r="W20" s="129"/>
      <c r="X20" s="129">
        <v>17700</v>
      </c>
      <c r="Y20" s="129"/>
      <c r="Z20" s="129"/>
      <c r="AA20" s="129"/>
      <c r="AB20" s="129"/>
      <c r="AC20" s="129">
        <v>700</v>
      </c>
      <c r="AD20" s="129">
        <v>1338</v>
      </c>
      <c r="AE20" s="129">
        <v>1000</v>
      </c>
      <c r="AF20" s="129"/>
      <c r="AG20" s="129"/>
      <c r="AH20" s="129">
        <f t="shared" si="8"/>
        <v>0</v>
      </c>
      <c r="AI20" s="129"/>
      <c r="AJ20" s="130"/>
    </row>
    <row r="21" spans="1:36" x14ac:dyDescent="0.2">
      <c r="A21" s="171" t="s">
        <v>541</v>
      </c>
      <c r="B21" s="171">
        <v>23</v>
      </c>
      <c r="C21" s="193"/>
      <c r="D21" s="370"/>
      <c r="E21" s="371">
        <f t="shared" si="0"/>
        <v>10000</v>
      </c>
      <c r="F21" s="372">
        <f t="shared" si="4"/>
        <v>0</v>
      </c>
      <c r="G21" s="129">
        <v>0</v>
      </c>
      <c r="H21" s="129">
        <v>0</v>
      </c>
      <c r="I21" s="227">
        <f t="shared" si="5"/>
        <v>10000</v>
      </c>
      <c r="J21" s="129">
        <v>10000</v>
      </c>
      <c r="K21" s="129">
        <v>0</v>
      </c>
      <c r="L21" s="227"/>
      <c r="M21" s="373"/>
      <c r="N21" s="194">
        <f t="shared" si="2"/>
        <v>10000</v>
      </c>
      <c r="O21" s="374">
        <f t="shared" si="6"/>
        <v>0</v>
      </c>
      <c r="P21" s="129"/>
      <c r="Q21" s="129"/>
      <c r="R21" s="129"/>
      <c r="S21" s="129"/>
      <c r="T21" s="129">
        <f t="shared" si="7"/>
        <v>10000</v>
      </c>
      <c r="U21" s="129"/>
      <c r="V21" s="129"/>
      <c r="W21" s="129"/>
      <c r="X21" s="129">
        <v>10000</v>
      </c>
      <c r="Y21" s="129"/>
      <c r="Z21" s="129"/>
      <c r="AA21" s="129"/>
      <c r="AB21" s="129"/>
      <c r="AC21" s="129"/>
      <c r="AD21" s="129"/>
      <c r="AE21" s="129"/>
      <c r="AF21" s="129"/>
      <c r="AG21" s="129"/>
      <c r="AH21" s="129">
        <f t="shared" si="8"/>
        <v>0</v>
      </c>
      <c r="AI21" s="129"/>
      <c r="AJ21" s="130"/>
    </row>
    <row r="22" spans="1:36" x14ac:dyDescent="0.2">
      <c r="A22" s="171" t="s">
        <v>542</v>
      </c>
      <c r="B22" s="171">
        <v>23</v>
      </c>
      <c r="C22" s="193"/>
      <c r="D22" s="370"/>
      <c r="E22" s="371">
        <f t="shared" si="0"/>
        <v>3774</v>
      </c>
      <c r="F22" s="372">
        <f t="shared" si="4"/>
        <v>3774</v>
      </c>
      <c r="G22" s="129">
        <v>3774</v>
      </c>
      <c r="H22" s="129">
        <v>0</v>
      </c>
      <c r="I22" s="227">
        <f t="shared" si="5"/>
        <v>0</v>
      </c>
      <c r="J22" s="129">
        <v>0</v>
      </c>
      <c r="K22" s="129">
        <v>0</v>
      </c>
      <c r="L22" s="227"/>
      <c r="M22" s="373"/>
      <c r="N22" s="194">
        <f t="shared" si="2"/>
        <v>3774</v>
      </c>
      <c r="O22" s="374">
        <f t="shared" si="6"/>
        <v>3774</v>
      </c>
      <c r="P22" s="129"/>
      <c r="Q22" s="129">
        <v>2820</v>
      </c>
      <c r="R22" s="129"/>
      <c r="S22" s="129">
        <v>954</v>
      </c>
      <c r="T22" s="129">
        <f t="shared" si="7"/>
        <v>0</v>
      </c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>
        <f t="shared" si="8"/>
        <v>0</v>
      </c>
      <c r="AI22" s="129"/>
      <c r="AJ22" s="130"/>
    </row>
    <row r="23" spans="1:36" ht="13.5" thickBot="1" x14ac:dyDescent="0.25">
      <c r="A23" s="375" t="s">
        <v>543</v>
      </c>
      <c r="B23" s="375">
        <v>23</v>
      </c>
      <c r="C23" s="180"/>
      <c r="D23" s="376"/>
      <c r="E23" s="377">
        <f t="shared" si="0"/>
        <v>9921</v>
      </c>
      <c r="F23" s="224">
        <f t="shared" si="4"/>
        <v>6021</v>
      </c>
      <c r="G23" s="378">
        <v>6021</v>
      </c>
      <c r="H23" s="378">
        <v>0</v>
      </c>
      <c r="I23" s="225">
        <f t="shared" si="5"/>
        <v>3900</v>
      </c>
      <c r="J23" s="378">
        <v>2700</v>
      </c>
      <c r="K23" s="378">
        <v>1200</v>
      </c>
      <c r="L23" s="225"/>
      <c r="M23" s="379"/>
      <c r="N23" s="197">
        <f t="shared" si="2"/>
        <v>9921</v>
      </c>
      <c r="O23" s="380">
        <f t="shared" si="6"/>
        <v>6021</v>
      </c>
      <c r="P23" s="378"/>
      <c r="Q23" s="378">
        <v>4500</v>
      </c>
      <c r="R23" s="378"/>
      <c r="S23" s="378">
        <v>1521</v>
      </c>
      <c r="T23" s="378">
        <f t="shared" si="7"/>
        <v>3900</v>
      </c>
      <c r="U23" s="378"/>
      <c r="V23" s="378"/>
      <c r="W23" s="378">
        <v>2700</v>
      </c>
      <c r="X23" s="378">
        <v>1200</v>
      </c>
      <c r="Y23" s="378"/>
      <c r="Z23" s="378"/>
      <c r="AA23" s="378"/>
      <c r="AB23" s="378"/>
      <c r="AC23" s="378"/>
      <c r="AD23" s="378"/>
      <c r="AE23" s="378"/>
      <c r="AF23" s="378"/>
      <c r="AG23" s="378"/>
      <c r="AH23" s="378">
        <f t="shared" si="8"/>
        <v>0</v>
      </c>
      <c r="AI23" s="378"/>
      <c r="AJ23" s="381"/>
    </row>
    <row r="24" spans="1:36" s="102" customFormat="1" ht="13.5" thickBot="1" x14ac:dyDescent="0.25">
      <c r="A24" s="186" t="s">
        <v>374</v>
      </c>
      <c r="B24" s="186"/>
      <c r="C24" s="187" t="s">
        <v>39</v>
      </c>
      <c r="D24" s="188"/>
      <c r="E24" s="190">
        <f t="shared" si="0"/>
        <v>64956</v>
      </c>
      <c r="F24" s="117">
        <f t="shared" si="4"/>
        <v>64956</v>
      </c>
      <c r="G24" s="118">
        <f>G25</f>
        <v>0</v>
      </c>
      <c r="H24" s="118">
        <f>H25</f>
        <v>64956</v>
      </c>
      <c r="I24" s="198">
        <f t="shared" si="5"/>
        <v>0</v>
      </c>
      <c r="J24" s="118">
        <f>J25</f>
        <v>0</v>
      </c>
      <c r="K24" s="118">
        <f>K25</f>
        <v>0</v>
      </c>
      <c r="L24" s="189">
        <f>L25</f>
        <v>0</v>
      </c>
      <c r="M24" s="189">
        <f>M25</f>
        <v>0</v>
      </c>
      <c r="N24" s="190">
        <f t="shared" si="2"/>
        <v>64956</v>
      </c>
      <c r="O24" s="117">
        <f t="shared" si="6"/>
        <v>63956</v>
      </c>
      <c r="P24" s="118">
        <f>P25</f>
        <v>0</v>
      </c>
      <c r="Q24" s="118">
        <f>Q25</f>
        <v>31600</v>
      </c>
      <c r="R24" s="118">
        <f>R25</f>
        <v>16200</v>
      </c>
      <c r="S24" s="118">
        <f>S25</f>
        <v>16156</v>
      </c>
      <c r="T24" s="118">
        <f t="shared" si="7"/>
        <v>1000</v>
      </c>
      <c r="U24" s="118">
        <f t="shared" ref="U24:AG24" si="9">U25</f>
        <v>0</v>
      </c>
      <c r="V24" s="118">
        <f t="shared" si="9"/>
        <v>0</v>
      </c>
      <c r="W24" s="118">
        <f t="shared" si="9"/>
        <v>1000</v>
      </c>
      <c r="X24" s="118">
        <f t="shared" si="9"/>
        <v>0</v>
      </c>
      <c r="Y24" s="118">
        <f t="shared" si="9"/>
        <v>0</v>
      </c>
      <c r="Z24" s="118">
        <f t="shared" si="9"/>
        <v>0</v>
      </c>
      <c r="AA24" s="118">
        <f t="shared" si="9"/>
        <v>0</v>
      </c>
      <c r="AB24" s="118">
        <f t="shared" si="9"/>
        <v>0</v>
      </c>
      <c r="AC24" s="118">
        <f t="shared" si="9"/>
        <v>0</v>
      </c>
      <c r="AD24" s="118">
        <f t="shared" si="9"/>
        <v>0</v>
      </c>
      <c r="AE24" s="118">
        <f t="shared" si="9"/>
        <v>0</v>
      </c>
      <c r="AF24" s="118">
        <f t="shared" si="9"/>
        <v>0</v>
      </c>
      <c r="AG24" s="118">
        <f t="shared" si="9"/>
        <v>0</v>
      </c>
      <c r="AH24" s="118">
        <f t="shared" si="8"/>
        <v>0</v>
      </c>
      <c r="AI24" s="117">
        <f>AI25</f>
        <v>0</v>
      </c>
      <c r="AJ24" s="119">
        <f>AJ25</f>
        <v>0</v>
      </c>
    </row>
    <row r="25" spans="1:36" ht="13.5" thickBot="1" x14ac:dyDescent="0.25">
      <c r="A25" s="195" t="s">
        <v>375</v>
      </c>
      <c r="B25" s="195">
        <v>23</v>
      </c>
      <c r="C25" s="199"/>
      <c r="D25" s="196"/>
      <c r="E25" s="229">
        <f t="shared" si="0"/>
        <v>64956</v>
      </c>
      <c r="F25" s="230">
        <f t="shared" si="4"/>
        <v>64956</v>
      </c>
      <c r="G25" s="228"/>
      <c r="H25" s="228">
        <v>64956</v>
      </c>
      <c r="I25" s="231">
        <f t="shared" si="5"/>
        <v>0</v>
      </c>
      <c r="J25" s="228"/>
      <c r="K25" s="228"/>
      <c r="L25" s="223"/>
      <c r="M25" s="223"/>
      <c r="N25" s="190">
        <f t="shared" si="2"/>
        <v>64956</v>
      </c>
      <c r="O25" s="200">
        <f t="shared" si="6"/>
        <v>63956</v>
      </c>
      <c r="P25" s="144"/>
      <c r="Q25" s="382">
        <v>31600</v>
      </c>
      <c r="R25" s="382">
        <v>16200</v>
      </c>
      <c r="S25" s="144">
        <v>16156</v>
      </c>
      <c r="T25" s="144">
        <f t="shared" si="7"/>
        <v>1000</v>
      </c>
      <c r="U25" s="144"/>
      <c r="V25" s="144"/>
      <c r="W25" s="144">
        <v>1000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>
        <f t="shared" si="8"/>
        <v>0</v>
      </c>
      <c r="AI25" s="143"/>
      <c r="AJ25" s="145"/>
    </row>
    <row r="26" spans="1:36" s="102" customFormat="1" ht="13.5" thickBot="1" x14ac:dyDescent="0.25">
      <c r="A26" s="186" t="s">
        <v>393</v>
      </c>
      <c r="B26" s="186"/>
      <c r="C26" s="201"/>
      <c r="D26" s="188"/>
      <c r="E26" s="190">
        <f>SUM(F26,I26,L26,M26)</f>
        <v>555827</v>
      </c>
      <c r="F26" s="117">
        <f t="shared" si="4"/>
        <v>323932</v>
      </c>
      <c r="G26" s="118">
        <f>SUM(G6,G24)</f>
        <v>130267</v>
      </c>
      <c r="H26" s="118">
        <f>SUM(H6,H24)</f>
        <v>193665</v>
      </c>
      <c r="I26" s="202">
        <f t="shared" si="5"/>
        <v>231895</v>
      </c>
      <c r="J26" s="118">
        <f>SUM(J6,J24)</f>
        <v>166974</v>
      </c>
      <c r="K26" s="118">
        <f>SUM(K6,K24)</f>
        <v>64921</v>
      </c>
      <c r="L26" s="118">
        <f>SUM(L6,L24)</f>
        <v>0</v>
      </c>
      <c r="M26" s="118">
        <f>SUM(M6,M24)</f>
        <v>0</v>
      </c>
      <c r="N26" s="190">
        <f t="shared" si="2"/>
        <v>555827</v>
      </c>
      <c r="O26" s="117">
        <f t="shared" si="6"/>
        <v>319353</v>
      </c>
      <c r="P26" s="118">
        <f>SUM(P6,P24)</f>
        <v>0</v>
      </c>
      <c r="Q26" s="118">
        <f>SUM(Q6,Q24)</f>
        <v>220813</v>
      </c>
      <c r="R26" s="118">
        <f>SUM(R6,R24)</f>
        <v>18200</v>
      </c>
      <c r="S26" s="118">
        <f>SUM(S6,S24)</f>
        <v>80340</v>
      </c>
      <c r="T26" s="118">
        <f t="shared" si="7"/>
        <v>236474</v>
      </c>
      <c r="U26" s="118">
        <f t="shared" ref="U26:AG26" si="10">SUM(U6,U24)</f>
        <v>7673</v>
      </c>
      <c r="V26" s="118">
        <f t="shared" si="10"/>
        <v>17500</v>
      </c>
      <c r="W26" s="118">
        <f t="shared" si="10"/>
        <v>4020</v>
      </c>
      <c r="X26" s="118">
        <f t="shared" si="10"/>
        <v>113997</v>
      </c>
      <c r="Y26" s="118">
        <f t="shared" si="10"/>
        <v>0</v>
      </c>
      <c r="Z26" s="118">
        <f t="shared" si="10"/>
        <v>10200</v>
      </c>
      <c r="AA26" s="118">
        <f t="shared" si="10"/>
        <v>24731</v>
      </c>
      <c r="AB26" s="118">
        <f t="shared" si="10"/>
        <v>0</v>
      </c>
      <c r="AC26" s="118">
        <f t="shared" si="10"/>
        <v>1700</v>
      </c>
      <c r="AD26" s="118">
        <f t="shared" si="10"/>
        <v>14828</v>
      </c>
      <c r="AE26" s="118">
        <f t="shared" si="10"/>
        <v>41425</v>
      </c>
      <c r="AF26" s="118">
        <f t="shared" si="10"/>
        <v>200</v>
      </c>
      <c r="AG26" s="118">
        <f t="shared" si="10"/>
        <v>200</v>
      </c>
      <c r="AH26" s="118">
        <f t="shared" si="8"/>
        <v>0</v>
      </c>
      <c r="AI26" s="117">
        <f>SUM(AI6,AI24)</f>
        <v>0</v>
      </c>
      <c r="AJ26" s="117">
        <f>SUM(AJ6,AJ24)</f>
        <v>0</v>
      </c>
    </row>
    <row r="30" spans="1:36" x14ac:dyDescent="0.2">
      <c r="S30" s="382"/>
    </row>
    <row r="31" spans="1:36" x14ac:dyDescent="0.2">
      <c r="S31" s="38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R6" sqref="R6"/>
    </sheetView>
  </sheetViews>
  <sheetFormatPr defaultRowHeight="15" x14ac:dyDescent="0.25"/>
  <cols>
    <col min="1" max="1" width="27.7109375" style="94" customWidth="1"/>
    <col min="2" max="2" width="12.28515625" style="94" customWidth="1"/>
    <col min="3" max="3" width="13.85546875" style="156" hidden="1" customWidth="1"/>
    <col min="4" max="4" width="8" style="94" hidden="1" customWidth="1"/>
    <col min="5" max="7" width="12.7109375" style="94" hidden="1" customWidth="1"/>
    <col min="8" max="8" width="18.85546875" style="156" customWidth="1"/>
    <col min="9" max="9" width="6.28515625" style="156" hidden="1" customWidth="1"/>
    <col min="10" max="10" width="5" style="156" hidden="1" customWidth="1"/>
    <col min="11" max="11" width="6.42578125" style="94" hidden="1" customWidth="1"/>
    <col min="12" max="12" width="7.140625" style="94" hidden="1" customWidth="1"/>
    <col min="13" max="14" width="4.42578125" style="94" hidden="1" customWidth="1"/>
    <col min="15" max="256" width="9.140625" style="94"/>
    <col min="257" max="16384" width="9.140625" style="2"/>
  </cols>
  <sheetData>
    <row r="1" spans="1:14" x14ac:dyDescent="0.25">
      <c r="A1" s="153" t="s">
        <v>444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4" x14ac:dyDescent="0.25">
      <c r="A2" s="153" t="s">
        <v>377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4" x14ac:dyDescent="0.25">
      <c r="A3" s="153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14" x14ac:dyDescent="0.25">
      <c r="L4" s="94" t="s">
        <v>378</v>
      </c>
    </row>
    <row r="5" spans="1:14" ht="109.5" x14ac:dyDescent="0.25">
      <c r="A5" s="157" t="s">
        <v>350</v>
      </c>
      <c r="B5" s="158" t="s">
        <v>385</v>
      </c>
      <c r="C5" s="158" t="s">
        <v>436</v>
      </c>
      <c r="D5" s="159" t="s">
        <v>379</v>
      </c>
      <c r="E5" s="158" t="s">
        <v>437</v>
      </c>
      <c r="F5" s="159" t="s">
        <v>410</v>
      </c>
      <c r="G5" s="159" t="s">
        <v>411</v>
      </c>
      <c r="H5" s="158" t="s">
        <v>380</v>
      </c>
      <c r="I5" s="160" t="s">
        <v>397</v>
      </c>
      <c r="J5" s="160" t="s">
        <v>336</v>
      </c>
      <c r="K5" s="160" t="s">
        <v>381</v>
      </c>
      <c r="L5" s="205" t="s">
        <v>398</v>
      </c>
      <c r="M5" s="160" t="s">
        <v>382</v>
      </c>
      <c r="N5" s="161" t="s">
        <v>343</v>
      </c>
    </row>
    <row r="6" spans="1:14" x14ac:dyDescent="0.25">
      <c r="A6" s="162" t="s">
        <v>346</v>
      </c>
      <c r="B6" s="162">
        <v>32</v>
      </c>
      <c r="C6" s="162">
        <v>3220</v>
      </c>
      <c r="D6" s="162">
        <v>322050</v>
      </c>
      <c r="E6" s="162">
        <v>3233</v>
      </c>
      <c r="F6" s="162">
        <v>323320</v>
      </c>
      <c r="G6" s="162">
        <v>323390</v>
      </c>
      <c r="H6" s="162">
        <v>55</v>
      </c>
      <c r="I6" s="164">
        <v>5500</v>
      </c>
      <c r="J6" s="164">
        <v>5504</v>
      </c>
      <c r="K6" s="164">
        <v>5511</v>
      </c>
      <c r="L6" s="164">
        <v>5515</v>
      </c>
      <c r="M6" s="75">
        <v>5522</v>
      </c>
      <c r="N6" s="164">
        <v>5524</v>
      </c>
    </row>
    <row r="7" spans="1:14" ht="29.25" x14ac:dyDescent="0.25">
      <c r="A7" s="165" t="s">
        <v>383</v>
      </c>
      <c r="B7" s="222">
        <f>C7+E7</f>
        <v>24966</v>
      </c>
      <c r="C7" s="166">
        <f t="shared" ref="C7:N7" si="0">SUM(C8:C14)</f>
        <v>8855</v>
      </c>
      <c r="D7" s="166">
        <f t="shared" si="0"/>
        <v>8855</v>
      </c>
      <c r="E7" s="166">
        <f t="shared" si="0"/>
        <v>16111</v>
      </c>
      <c r="F7" s="166">
        <f t="shared" si="0"/>
        <v>900</v>
      </c>
      <c r="G7" s="166">
        <f t="shared" si="0"/>
        <v>15211</v>
      </c>
      <c r="H7" s="65">
        <f t="shared" si="0"/>
        <v>24966</v>
      </c>
      <c r="I7" s="167">
        <f t="shared" si="0"/>
        <v>1050</v>
      </c>
      <c r="J7" s="167">
        <f t="shared" si="0"/>
        <v>900</v>
      </c>
      <c r="K7" s="167">
        <f t="shared" si="0"/>
        <v>21816</v>
      </c>
      <c r="L7" s="167">
        <f t="shared" si="0"/>
        <v>400</v>
      </c>
      <c r="M7" s="167">
        <f t="shared" si="0"/>
        <v>500</v>
      </c>
      <c r="N7" s="167">
        <f t="shared" si="0"/>
        <v>300</v>
      </c>
    </row>
    <row r="8" spans="1:14" ht="21.75" customHeight="1" x14ac:dyDescent="0.25">
      <c r="A8" s="163" t="s">
        <v>404</v>
      </c>
      <c r="B8" s="166">
        <f>C8+E8</f>
        <v>3119</v>
      </c>
      <c r="C8" s="166">
        <f>SUM(D8)</f>
        <v>0</v>
      </c>
      <c r="D8" s="168"/>
      <c r="E8" s="168">
        <f>SUM(F8:G8)</f>
        <v>3119</v>
      </c>
      <c r="F8" s="168">
        <v>0</v>
      </c>
      <c r="G8" s="168">
        <v>3119</v>
      </c>
      <c r="H8" s="166">
        <f>SUM(I8:N8)</f>
        <v>3119</v>
      </c>
      <c r="I8" s="166"/>
      <c r="J8" s="166"/>
      <c r="K8" s="129">
        <v>3119</v>
      </c>
      <c r="L8" s="169"/>
      <c r="M8" s="170"/>
      <c r="N8" s="171"/>
    </row>
    <row r="9" spans="1:14" ht="21.75" customHeight="1" x14ac:dyDescent="0.25">
      <c r="A9" s="163" t="s">
        <v>405</v>
      </c>
      <c r="B9" s="166">
        <f t="shared" ref="B9:B14" si="1">C9+E9</f>
        <v>4400</v>
      </c>
      <c r="C9" s="166">
        <f t="shared" ref="C9:C14" si="2">SUM(D9)</f>
        <v>0</v>
      </c>
      <c r="D9" s="168"/>
      <c r="E9" s="168">
        <f t="shared" ref="E9:E14" si="3">SUM(F9:G9)</f>
        <v>4400</v>
      </c>
      <c r="F9" s="168">
        <v>0</v>
      </c>
      <c r="G9" s="168">
        <v>4400</v>
      </c>
      <c r="H9" s="166">
        <f t="shared" ref="H9:H14" si="4">SUM(I9:N9)</f>
        <v>4400</v>
      </c>
      <c r="I9" s="166"/>
      <c r="J9" s="166"/>
      <c r="K9" s="129">
        <v>4400</v>
      </c>
      <c r="L9" s="169"/>
      <c r="M9" s="170"/>
      <c r="N9" s="171"/>
    </row>
    <row r="10" spans="1:14" ht="21.75" customHeight="1" x14ac:dyDescent="0.25">
      <c r="A10" s="163" t="s">
        <v>408</v>
      </c>
      <c r="B10" s="166">
        <f>C10+E10</f>
        <v>3869</v>
      </c>
      <c r="C10" s="166">
        <f>SUM(D10)</f>
        <v>0</v>
      </c>
      <c r="D10" s="168"/>
      <c r="E10" s="168">
        <f>SUM(F10:G10)</f>
        <v>3869</v>
      </c>
      <c r="F10" s="168">
        <v>0</v>
      </c>
      <c r="G10" s="168">
        <v>3869</v>
      </c>
      <c r="H10" s="166">
        <f>SUM(I10:N10)</f>
        <v>3869</v>
      </c>
      <c r="I10" s="166"/>
      <c r="J10" s="166"/>
      <c r="K10" s="129">
        <v>3869</v>
      </c>
      <c r="L10" s="169"/>
      <c r="M10" s="170"/>
      <c r="N10" s="171"/>
    </row>
    <row r="11" spans="1:14" ht="21.75" customHeight="1" x14ac:dyDescent="0.25">
      <c r="A11" s="255" t="s">
        <v>406</v>
      </c>
      <c r="B11" s="256">
        <f t="shared" si="1"/>
        <v>4723</v>
      </c>
      <c r="C11" s="166">
        <f t="shared" si="2"/>
        <v>0</v>
      </c>
      <c r="D11" s="168"/>
      <c r="E11" s="168">
        <f t="shared" si="3"/>
        <v>4723</v>
      </c>
      <c r="F11" s="168">
        <v>900</v>
      </c>
      <c r="G11" s="168">
        <v>3823</v>
      </c>
      <c r="H11" s="166">
        <f t="shared" si="4"/>
        <v>4723</v>
      </c>
      <c r="I11" s="166"/>
      <c r="J11" s="166">
        <v>900</v>
      </c>
      <c r="K11" s="129">
        <v>3823</v>
      </c>
      <c r="L11" s="169"/>
      <c r="M11" s="170"/>
      <c r="N11" s="171"/>
    </row>
    <row r="12" spans="1:14" ht="21.75" customHeight="1" x14ac:dyDescent="0.25">
      <c r="A12" s="163" t="s">
        <v>407</v>
      </c>
      <c r="B12" s="166">
        <f t="shared" si="1"/>
        <v>2450</v>
      </c>
      <c r="C12" s="166">
        <f t="shared" si="2"/>
        <v>2450</v>
      </c>
      <c r="D12" s="168">
        <v>2450</v>
      </c>
      <c r="E12" s="168">
        <f t="shared" si="3"/>
        <v>0</v>
      </c>
      <c r="F12" s="168"/>
      <c r="G12" s="168"/>
      <c r="H12" s="166">
        <f t="shared" si="4"/>
        <v>2450</v>
      </c>
      <c r="I12" s="166"/>
      <c r="J12" s="166"/>
      <c r="K12" s="129">
        <v>2250</v>
      </c>
      <c r="L12" s="169"/>
      <c r="M12" s="170">
        <v>200</v>
      </c>
      <c r="N12" s="171"/>
    </row>
    <row r="13" spans="1:14" ht="21.75" customHeight="1" x14ac:dyDescent="0.25">
      <c r="A13" s="255" t="s">
        <v>552</v>
      </c>
      <c r="B13" s="256">
        <f>C13+E13</f>
        <v>1050</v>
      </c>
      <c r="C13" s="166">
        <f>SUM(D13)</f>
        <v>1050</v>
      </c>
      <c r="D13" s="168">
        <v>1050</v>
      </c>
      <c r="E13" s="168">
        <f t="shared" si="3"/>
        <v>0</v>
      </c>
      <c r="F13" s="168"/>
      <c r="G13" s="168"/>
      <c r="H13" s="166">
        <f>SUM(I13:N13)</f>
        <v>1050</v>
      </c>
      <c r="I13" s="166">
        <v>1050</v>
      </c>
      <c r="J13" s="166"/>
      <c r="K13" s="129"/>
      <c r="L13" s="169"/>
      <c r="M13" s="170"/>
      <c r="N13" s="171"/>
    </row>
    <row r="14" spans="1:14" ht="21.75" customHeight="1" x14ac:dyDescent="0.25">
      <c r="A14" s="163" t="s">
        <v>409</v>
      </c>
      <c r="B14" s="166">
        <f t="shared" si="1"/>
        <v>5355</v>
      </c>
      <c r="C14" s="166">
        <f t="shared" si="2"/>
        <v>5355</v>
      </c>
      <c r="D14" s="168">
        <v>5355</v>
      </c>
      <c r="E14" s="168">
        <f t="shared" si="3"/>
        <v>0</v>
      </c>
      <c r="F14" s="168"/>
      <c r="G14" s="168"/>
      <c r="H14" s="166">
        <f t="shared" si="4"/>
        <v>5355</v>
      </c>
      <c r="I14" s="166"/>
      <c r="J14" s="166"/>
      <c r="K14" s="129">
        <v>4355</v>
      </c>
      <c r="L14" s="169">
        <v>400</v>
      </c>
      <c r="M14" s="170">
        <v>300</v>
      </c>
      <c r="N14" s="171">
        <v>300</v>
      </c>
    </row>
    <row r="16" spans="1:14" x14ac:dyDescent="0.25">
      <c r="A16" s="172"/>
      <c r="B16" s="172"/>
    </row>
    <row r="17" spans="1:2" x14ac:dyDescent="0.25">
      <c r="A17" s="172"/>
      <c r="B17" s="172"/>
    </row>
    <row r="18" spans="1:2" x14ac:dyDescent="0.25">
      <c r="A18" s="95"/>
      <c r="B18" s="95"/>
    </row>
    <row r="19" spans="1:2" x14ac:dyDescent="0.25">
      <c r="A19" s="95"/>
      <c r="B19" s="9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Layout" zoomScaleNormal="100" workbookViewId="0">
      <selection activeCell="J6" sqref="J6"/>
    </sheetView>
  </sheetViews>
  <sheetFormatPr defaultRowHeight="15" x14ac:dyDescent="0.25"/>
  <cols>
    <col min="1" max="1" width="7.42578125" style="54" customWidth="1"/>
    <col min="2" max="2" width="5.7109375" style="54" customWidth="1"/>
    <col min="3" max="3" width="18.42578125" style="54" customWidth="1"/>
    <col min="4" max="4" width="9" style="54" customWidth="1"/>
    <col min="5" max="5" width="8.7109375" style="54" customWidth="1"/>
    <col min="6" max="7" width="10.42578125" style="54" customWidth="1"/>
    <col min="8" max="9" width="9.140625" style="54"/>
    <col min="10" max="10" width="10.85546875" style="54" customWidth="1"/>
    <col min="11" max="16384" width="9.140625" style="54"/>
  </cols>
  <sheetData>
    <row r="1" spans="1:10" ht="15" customHeight="1" x14ac:dyDescent="0.25">
      <c r="A1" s="54" t="s">
        <v>445</v>
      </c>
      <c r="B1" s="250"/>
      <c r="C1" s="250"/>
      <c r="D1" s="250"/>
      <c r="E1" s="250"/>
      <c r="F1" s="250"/>
    </row>
    <row r="2" spans="1:10" x14ac:dyDescent="0.25">
      <c r="A2" s="54" t="s">
        <v>416</v>
      </c>
      <c r="B2" s="252"/>
      <c r="C2" s="252"/>
      <c r="D2" s="252"/>
      <c r="E2" s="252"/>
      <c r="F2" s="252"/>
    </row>
    <row r="3" spans="1:10" x14ac:dyDescent="0.25">
      <c r="B3" s="251"/>
      <c r="C3" s="251"/>
      <c r="D3" s="251"/>
      <c r="E3" s="251"/>
      <c r="F3" s="251"/>
    </row>
    <row r="4" spans="1:10" x14ac:dyDescent="0.25">
      <c r="A4" s="386"/>
      <c r="B4" s="387"/>
      <c r="C4" s="388"/>
      <c r="D4" s="383" t="s">
        <v>101</v>
      </c>
      <c r="E4" s="383"/>
      <c r="F4" s="383"/>
      <c r="G4" s="383" t="s">
        <v>432</v>
      </c>
      <c r="H4" s="383"/>
      <c r="I4" s="383"/>
      <c r="J4" s="383" t="s">
        <v>478</v>
      </c>
    </row>
    <row r="5" spans="1:10" ht="38.25" x14ac:dyDescent="0.25">
      <c r="A5" s="404" t="s">
        <v>110</v>
      </c>
      <c r="B5" s="405"/>
      <c r="C5" s="20" t="s">
        <v>109</v>
      </c>
      <c r="D5" s="28" t="s">
        <v>103</v>
      </c>
      <c r="E5" s="28" t="s">
        <v>104</v>
      </c>
      <c r="F5" s="28" t="s">
        <v>105</v>
      </c>
      <c r="G5" s="20" t="s">
        <v>107</v>
      </c>
      <c r="H5" s="20" t="s">
        <v>108</v>
      </c>
      <c r="I5" s="28" t="s">
        <v>105</v>
      </c>
      <c r="J5" s="383"/>
    </row>
    <row r="6" spans="1:10" s="55" customFormat="1" ht="14.25" x14ac:dyDescent="0.2">
      <c r="A6" s="271">
        <v>10200</v>
      </c>
      <c r="B6" s="270"/>
      <c r="C6" s="20"/>
      <c r="D6" s="274">
        <f>D7+D10+D13+D16</f>
        <v>2347788</v>
      </c>
      <c r="E6" s="274">
        <f t="shared" ref="E6:I6" si="0">E7+E10+E13+E16</f>
        <v>0</v>
      </c>
      <c r="F6" s="274">
        <f t="shared" si="0"/>
        <v>2347788</v>
      </c>
      <c r="G6" s="274">
        <f t="shared" si="0"/>
        <v>1104700</v>
      </c>
      <c r="H6" s="274">
        <f t="shared" si="0"/>
        <v>159819</v>
      </c>
      <c r="I6" s="274">
        <f t="shared" si="0"/>
        <v>1264519</v>
      </c>
      <c r="J6" s="274">
        <f>J7+J10+J13+J16</f>
        <v>3612307</v>
      </c>
    </row>
    <row r="7" spans="1:10" x14ac:dyDescent="0.25">
      <c r="A7" s="18"/>
      <c r="B7" s="14"/>
      <c r="C7" s="272" t="s">
        <v>178</v>
      </c>
      <c r="D7" s="7">
        <f>SUM(D8:D9)</f>
        <v>943000</v>
      </c>
      <c r="E7" s="7">
        <f t="shared" ref="E7:I7" si="1">SUM(E8:E9)</f>
        <v>0</v>
      </c>
      <c r="F7" s="7">
        <f t="shared" si="1"/>
        <v>943000</v>
      </c>
      <c r="G7" s="7">
        <f t="shared" si="1"/>
        <v>1092000</v>
      </c>
      <c r="H7" s="7">
        <f t="shared" si="1"/>
        <v>0</v>
      </c>
      <c r="I7" s="7">
        <f t="shared" si="1"/>
        <v>1092000</v>
      </c>
      <c r="J7" s="7">
        <f>SUM(J8:J9)</f>
        <v>2035000</v>
      </c>
    </row>
    <row r="8" spans="1:10" x14ac:dyDescent="0.25">
      <c r="A8" s="18"/>
      <c r="B8" s="9" t="s">
        <v>4</v>
      </c>
      <c r="C8" s="52" t="s">
        <v>5</v>
      </c>
      <c r="D8" s="16">
        <v>943000</v>
      </c>
      <c r="E8" s="16">
        <v>0</v>
      </c>
      <c r="F8" s="16">
        <f>SUM(D8:E8)</f>
        <v>943000</v>
      </c>
      <c r="G8" s="16">
        <v>496000</v>
      </c>
      <c r="H8" s="16">
        <v>0</v>
      </c>
      <c r="I8" s="16">
        <f>SUM(G8:H8)</f>
        <v>496000</v>
      </c>
      <c r="J8" s="16">
        <f>F8+I8</f>
        <v>1439000</v>
      </c>
    </row>
    <row r="9" spans="1:10" s="55" customFormat="1" ht="14.25" x14ac:dyDescent="0.2">
      <c r="A9" s="271"/>
      <c r="B9" s="9" t="s">
        <v>6</v>
      </c>
      <c r="C9" s="52" t="s">
        <v>7</v>
      </c>
      <c r="D9" s="16">
        <v>0</v>
      </c>
      <c r="E9" s="16">
        <v>0</v>
      </c>
      <c r="F9" s="16">
        <f>SUM(D9:E9)</f>
        <v>0</v>
      </c>
      <c r="G9" s="16">
        <v>596000</v>
      </c>
      <c r="H9" s="16">
        <v>0</v>
      </c>
      <c r="I9" s="16">
        <f>SUM(G9:H9)</f>
        <v>596000</v>
      </c>
      <c r="J9" s="16">
        <f>F9+I9</f>
        <v>596000</v>
      </c>
    </row>
    <row r="10" spans="1:10" x14ac:dyDescent="0.25">
      <c r="A10" s="18"/>
      <c r="B10" s="14"/>
      <c r="C10" s="272" t="s">
        <v>422</v>
      </c>
      <c r="D10" s="7">
        <f>SUM(D11:D12)</f>
        <v>686068</v>
      </c>
      <c r="E10" s="7">
        <f t="shared" ref="E10:J10" si="2">SUM(E11:E12)</f>
        <v>0</v>
      </c>
      <c r="F10" s="7">
        <f t="shared" si="2"/>
        <v>686068</v>
      </c>
      <c r="G10" s="7">
        <f t="shared" si="2"/>
        <v>7700</v>
      </c>
      <c r="H10" s="7">
        <f t="shared" si="2"/>
        <v>159819</v>
      </c>
      <c r="I10" s="7">
        <f t="shared" si="2"/>
        <v>167519</v>
      </c>
      <c r="J10" s="7">
        <f t="shared" si="2"/>
        <v>853587</v>
      </c>
    </row>
    <row r="11" spans="1:10" x14ac:dyDescent="0.25">
      <c r="A11" s="18"/>
      <c r="B11" s="9" t="s">
        <v>4</v>
      </c>
      <c r="C11" s="52" t="s">
        <v>5</v>
      </c>
      <c r="D11" s="16">
        <v>615257</v>
      </c>
      <c r="E11" s="16">
        <v>0</v>
      </c>
      <c r="F11" s="16">
        <f>SUM(D11:E11)</f>
        <v>615257</v>
      </c>
      <c r="G11" s="16">
        <v>2000</v>
      </c>
      <c r="H11" s="16">
        <v>156546</v>
      </c>
      <c r="I11" s="16">
        <f>SUM(G11:H11)</f>
        <v>158546</v>
      </c>
      <c r="J11" s="16">
        <f>F11+I11</f>
        <v>773803</v>
      </c>
    </row>
    <row r="12" spans="1:10" s="55" customFormat="1" ht="14.25" x14ac:dyDescent="0.2">
      <c r="A12" s="271"/>
      <c r="B12" s="9" t="s">
        <v>6</v>
      </c>
      <c r="C12" s="52" t="s">
        <v>7</v>
      </c>
      <c r="D12" s="16">
        <v>70811</v>
      </c>
      <c r="E12" s="16">
        <v>0</v>
      </c>
      <c r="F12" s="16">
        <f>SUM(D12:E12)</f>
        <v>70811</v>
      </c>
      <c r="G12" s="16">
        <v>5700</v>
      </c>
      <c r="H12" s="16">
        <v>3273</v>
      </c>
      <c r="I12" s="16">
        <f>SUM(G12:H12)</f>
        <v>8973</v>
      </c>
      <c r="J12" s="16">
        <f>F12+I12</f>
        <v>79784</v>
      </c>
    </row>
    <row r="13" spans="1:10" ht="26.25" x14ac:dyDescent="0.25">
      <c r="A13" s="18"/>
      <c r="B13" s="14"/>
      <c r="C13" s="272" t="s">
        <v>423</v>
      </c>
      <c r="D13" s="7">
        <f t="shared" ref="D13:J13" si="3">SUM(D14:D15)</f>
        <v>125220</v>
      </c>
      <c r="E13" s="7">
        <f t="shared" si="3"/>
        <v>0</v>
      </c>
      <c r="F13" s="7">
        <f t="shared" si="3"/>
        <v>125220</v>
      </c>
      <c r="G13" s="7">
        <f t="shared" si="3"/>
        <v>5000</v>
      </c>
      <c r="H13" s="7">
        <f t="shared" si="3"/>
        <v>0</v>
      </c>
      <c r="I13" s="7">
        <f t="shared" si="3"/>
        <v>5000</v>
      </c>
      <c r="J13" s="7">
        <f t="shared" si="3"/>
        <v>130220</v>
      </c>
    </row>
    <row r="14" spans="1:10" x14ac:dyDescent="0.25">
      <c r="A14" s="18"/>
      <c r="B14" s="9" t="s">
        <v>4</v>
      </c>
      <c r="C14" s="52" t="s">
        <v>5</v>
      </c>
      <c r="D14" s="16">
        <v>68960</v>
      </c>
      <c r="E14" s="16">
        <v>0</v>
      </c>
      <c r="F14" s="16">
        <f>SUM(D14:E14)</f>
        <v>68960</v>
      </c>
      <c r="G14" s="16"/>
      <c r="H14" s="16">
        <v>0</v>
      </c>
      <c r="I14" s="16">
        <f>SUM(G14:H14)</f>
        <v>0</v>
      </c>
      <c r="J14" s="16">
        <f>F14+I14</f>
        <v>68960</v>
      </c>
    </row>
    <row r="15" spans="1:10" s="55" customFormat="1" ht="14.25" x14ac:dyDescent="0.2">
      <c r="A15" s="271"/>
      <c r="B15" s="9" t="s">
        <v>6</v>
      </c>
      <c r="C15" s="52" t="s">
        <v>7</v>
      </c>
      <c r="D15" s="16">
        <v>56260</v>
      </c>
      <c r="E15" s="16">
        <v>0</v>
      </c>
      <c r="F15" s="16">
        <f>SUM(D15:E15)</f>
        <v>56260</v>
      </c>
      <c r="G15" s="16">
        <v>5000</v>
      </c>
      <c r="H15" s="16">
        <v>0</v>
      </c>
      <c r="I15" s="16">
        <f>SUM(G15:H15)</f>
        <v>5000</v>
      </c>
      <c r="J15" s="16">
        <f>F15+I15</f>
        <v>61260</v>
      </c>
    </row>
    <row r="16" spans="1:10" x14ac:dyDescent="0.25">
      <c r="A16" s="18"/>
      <c r="B16" s="273"/>
      <c r="C16" s="272" t="s">
        <v>427</v>
      </c>
      <c r="D16" s="7">
        <f>SUM(D17:D18)</f>
        <v>593500</v>
      </c>
      <c r="E16" s="7">
        <f t="shared" ref="E16:J16" si="4">SUM(E17:E18)</f>
        <v>0</v>
      </c>
      <c r="F16" s="7">
        <f t="shared" si="4"/>
        <v>593500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593500</v>
      </c>
    </row>
    <row r="17" spans="1:10" ht="26.25" x14ac:dyDescent="0.25">
      <c r="A17" s="18"/>
      <c r="B17" s="9">
        <v>55</v>
      </c>
      <c r="C17" s="269" t="s">
        <v>428</v>
      </c>
      <c r="D17" s="16">
        <v>465500</v>
      </c>
      <c r="E17" s="16"/>
      <c r="F17" s="16">
        <f t="shared" ref="F17:F18" si="5">SUM(D17:E17)</f>
        <v>465500</v>
      </c>
      <c r="G17" s="16">
        <v>0</v>
      </c>
      <c r="H17" s="16">
        <v>0</v>
      </c>
      <c r="I17" s="16">
        <f t="shared" ref="I17:I18" si="6">SUM(G17:H17)</f>
        <v>0</v>
      </c>
      <c r="J17" s="16">
        <f>F17+I17</f>
        <v>465500</v>
      </c>
    </row>
    <row r="18" spans="1:10" s="10" customFormat="1" ht="26.25" x14ac:dyDescent="0.25">
      <c r="A18" s="14"/>
      <c r="B18" s="9">
        <v>45</v>
      </c>
      <c r="C18" s="51" t="s">
        <v>477</v>
      </c>
      <c r="D18" s="16">
        <v>128000</v>
      </c>
      <c r="E18" s="16"/>
      <c r="F18" s="16">
        <f t="shared" si="5"/>
        <v>128000</v>
      </c>
      <c r="G18" s="16">
        <v>0</v>
      </c>
      <c r="H18" s="16">
        <v>0</v>
      </c>
      <c r="I18" s="16">
        <f t="shared" si="6"/>
        <v>0</v>
      </c>
      <c r="J18" s="16">
        <f t="shared" ref="J18" si="7">F18+I18</f>
        <v>128000</v>
      </c>
    </row>
    <row r="19" spans="1:10" s="2" customFormat="1" x14ac:dyDescent="0.25">
      <c r="A19" s="271">
        <v>10402</v>
      </c>
      <c r="B19" s="273"/>
      <c r="C19" s="49"/>
      <c r="D19" s="7">
        <f>D20+D23</f>
        <v>1342092</v>
      </c>
      <c r="E19" s="7">
        <f t="shared" ref="E19:J19" si="8">E20+E23</f>
        <v>280000</v>
      </c>
      <c r="F19" s="7">
        <f t="shared" si="8"/>
        <v>1622092</v>
      </c>
      <c r="G19" s="7">
        <f t="shared" si="8"/>
        <v>24500</v>
      </c>
      <c r="H19" s="7">
        <f t="shared" si="8"/>
        <v>0</v>
      </c>
      <c r="I19" s="7">
        <f t="shared" si="8"/>
        <v>24500</v>
      </c>
      <c r="J19" s="7">
        <f t="shared" si="8"/>
        <v>1646592</v>
      </c>
    </row>
    <row r="20" spans="1:10" s="2" customFormat="1" x14ac:dyDescent="0.25">
      <c r="A20" s="18"/>
      <c r="B20" s="14"/>
      <c r="C20" s="272" t="s">
        <v>426</v>
      </c>
      <c r="D20" s="7">
        <f>SUM(D21:D22)</f>
        <v>242668</v>
      </c>
      <c r="E20" s="7">
        <f t="shared" ref="E20:I20" si="9">SUM(E21:E22)</f>
        <v>0</v>
      </c>
      <c r="F20" s="7">
        <f t="shared" si="9"/>
        <v>242668</v>
      </c>
      <c r="G20" s="7">
        <f t="shared" si="9"/>
        <v>24500</v>
      </c>
      <c r="H20" s="7">
        <f t="shared" si="9"/>
        <v>0</v>
      </c>
      <c r="I20" s="7">
        <f t="shared" si="9"/>
        <v>24500</v>
      </c>
      <c r="J20" s="7">
        <f>SUM(J21:J22)</f>
        <v>267168</v>
      </c>
    </row>
    <row r="21" spans="1:10" s="10" customFormat="1" x14ac:dyDescent="0.25">
      <c r="A21" s="271"/>
      <c r="B21" s="9" t="s">
        <v>4</v>
      </c>
      <c r="C21" s="52" t="s">
        <v>5</v>
      </c>
      <c r="D21" s="16">
        <v>185760</v>
      </c>
      <c r="E21" s="16">
        <v>0</v>
      </c>
      <c r="F21" s="16">
        <f>SUM(D21:E21)</f>
        <v>185760</v>
      </c>
      <c r="G21" s="16">
        <v>13000</v>
      </c>
      <c r="H21" s="16">
        <v>0</v>
      </c>
      <c r="I21" s="16">
        <f>SUM(G21:H21)</f>
        <v>13000</v>
      </c>
      <c r="J21" s="16">
        <f>F21+I21</f>
        <v>198760</v>
      </c>
    </row>
    <row r="22" spans="1:10" s="2" customFormat="1" x14ac:dyDescent="0.25">
      <c r="A22" s="18"/>
      <c r="B22" s="9" t="s">
        <v>6</v>
      </c>
      <c r="C22" s="52" t="s">
        <v>7</v>
      </c>
      <c r="D22" s="16">
        <v>56908</v>
      </c>
      <c r="E22" s="16">
        <v>0</v>
      </c>
      <c r="F22" s="16">
        <f>SUM(D22:E22)</f>
        <v>56908</v>
      </c>
      <c r="G22" s="16">
        <v>11500</v>
      </c>
      <c r="H22" s="16">
        <v>0</v>
      </c>
      <c r="I22" s="16">
        <f>SUM(G22:H22)</f>
        <v>11500</v>
      </c>
      <c r="J22" s="16">
        <f>F22+I22</f>
        <v>68408</v>
      </c>
    </row>
    <row r="23" spans="1:10" s="2" customFormat="1" x14ac:dyDescent="0.25">
      <c r="A23" s="18"/>
      <c r="B23" s="14"/>
      <c r="C23" s="272" t="s">
        <v>427</v>
      </c>
      <c r="D23" s="7">
        <f>SUM(D24:D25)</f>
        <v>1099424</v>
      </c>
      <c r="E23" s="7">
        <f t="shared" ref="E23:J23" si="10">SUM(E24:E25)</f>
        <v>280000</v>
      </c>
      <c r="F23" s="7">
        <f t="shared" si="10"/>
        <v>1379424</v>
      </c>
      <c r="G23" s="7">
        <f t="shared" si="10"/>
        <v>0</v>
      </c>
      <c r="H23" s="7">
        <f t="shared" si="10"/>
        <v>0</v>
      </c>
      <c r="I23" s="7">
        <f t="shared" si="10"/>
        <v>0</v>
      </c>
      <c r="J23" s="7">
        <f t="shared" si="10"/>
        <v>1379424</v>
      </c>
    </row>
    <row r="24" spans="1:10" s="10" customFormat="1" ht="26.25" x14ac:dyDescent="0.25">
      <c r="A24" s="271"/>
      <c r="B24" s="9">
        <v>55</v>
      </c>
      <c r="C24" s="52" t="s">
        <v>429</v>
      </c>
      <c r="D24" s="16">
        <v>315144</v>
      </c>
      <c r="E24" s="16">
        <v>0</v>
      </c>
      <c r="F24" s="16">
        <f>SUM(D24:E24)</f>
        <v>315144</v>
      </c>
      <c r="G24" s="16">
        <v>0</v>
      </c>
      <c r="H24" s="16">
        <v>0</v>
      </c>
      <c r="I24" s="16">
        <f>SUM(G24:H24)</f>
        <v>0</v>
      </c>
      <c r="J24" s="16">
        <f>F24+I24</f>
        <v>315144</v>
      </c>
    </row>
    <row r="25" spans="1:10" s="10" customFormat="1" x14ac:dyDescent="0.25">
      <c r="A25" s="271"/>
      <c r="B25" s="9">
        <v>4</v>
      </c>
      <c r="C25" s="52" t="s">
        <v>15</v>
      </c>
      <c r="D25" s="16">
        <v>784280</v>
      </c>
      <c r="E25" s="16">
        <v>280000</v>
      </c>
      <c r="F25" s="16">
        <f>SUM(D25:E25)</f>
        <v>1064280</v>
      </c>
      <c r="G25" s="16">
        <v>0</v>
      </c>
      <c r="H25" s="16">
        <v>0</v>
      </c>
      <c r="I25" s="16">
        <f>SUM(G25:H25)</f>
        <v>0</v>
      </c>
      <c r="J25" s="16">
        <f>F25+I25</f>
        <v>1064280</v>
      </c>
    </row>
    <row r="26" spans="1:10" s="10" customFormat="1" x14ac:dyDescent="0.25">
      <c r="A26" s="271">
        <v>10700</v>
      </c>
      <c r="B26" s="9"/>
      <c r="C26" s="52"/>
      <c r="D26" s="7">
        <f>D27+D30</f>
        <v>473845</v>
      </c>
      <c r="E26" s="7">
        <f t="shared" ref="E26:J26" si="11">E27+E30</f>
        <v>0</v>
      </c>
      <c r="F26" s="7">
        <f t="shared" si="11"/>
        <v>473845</v>
      </c>
      <c r="G26" s="7">
        <f t="shared" si="11"/>
        <v>11000</v>
      </c>
      <c r="H26" s="7">
        <f t="shared" si="11"/>
        <v>0</v>
      </c>
      <c r="I26" s="7">
        <f t="shared" si="11"/>
        <v>11000</v>
      </c>
      <c r="J26" s="7">
        <f t="shared" si="11"/>
        <v>484845</v>
      </c>
    </row>
    <row r="27" spans="1:10" x14ac:dyDescent="0.25">
      <c r="A27" s="31"/>
      <c r="B27" s="14"/>
      <c r="C27" s="272" t="s">
        <v>430</v>
      </c>
      <c r="D27" s="7">
        <f>SUM(D28:D29)</f>
        <v>453845</v>
      </c>
      <c r="E27" s="7">
        <f t="shared" ref="E27:J27" si="12">SUM(E28:E29)</f>
        <v>0</v>
      </c>
      <c r="F27" s="7">
        <f t="shared" si="12"/>
        <v>453845</v>
      </c>
      <c r="G27" s="7">
        <f t="shared" si="12"/>
        <v>11000</v>
      </c>
      <c r="H27" s="7">
        <f t="shared" si="12"/>
        <v>0</v>
      </c>
      <c r="I27" s="7">
        <f t="shared" si="12"/>
        <v>11000</v>
      </c>
      <c r="J27" s="7">
        <f t="shared" si="12"/>
        <v>464845</v>
      </c>
    </row>
    <row r="28" spans="1:10" x14ac:dyDescent="0.25">
      <c r="A28" s="31"/>
      <c r="B28" s="9" t="s">
        <v>4</v>
      </c>
      <c r="C28" s="52" t="s">
        <v>5</v>
      </c>
      <c r="D28" s="16">
        <v>352445</v>
      </c>
      <c r="E28" s="7">
        <v>0</v>
      </c>
      <c r="F28" s="275">
        <f>SUM(D28:E28)</f>
        <v>352445</v>
      </c>
      <c r="G28" s="7">
        <v>0</v>
      </c>
      <c r="H28" s="7">
        <v>0</v>
      </c>
      <c r="I28" s="275">
        <f>SUM(G28:H28)</f>
        <v>0</v>
      </c>
      <c r="J28" s="7">
        <f>F28+I28</f>
        <v>352445</v>
      </c>
    </row>
    <row r="29" spans="1:10" x14ac:dyDescent="0.25">
      <c r="A29" s="31"/>
      <c r="B29" s="9" t="s">
        <v>6</v>
      </c>
      <c r="C29" s="52" t="s">
        <v>7</v>
      </c>
      <c r="D29" s="16">
        <v>101400</v>
      </c>
      <c r="E29" s="7">
        <v>0</v>
      </c>
      <c r="F29" s="275">
        <f>SUM(D29:E29)</f>
        <v>101400</v>
      </c>
      <c r="G29" s="275">
        <v>11000</v>
      </c>
      <c r="H29" s="275">
        <v>0</v>
      </c>
      <c r="I29" s="275">
        <f>SUM(G29:H29)</f>
        <v>11000</v>
      </c>
      <c r="J29" s="7">
        <f>F29+I29</f>
        <v>112400</v>
      </c>
    </row>
    <row r="30" spans="1:10" x14ac:dyDescent="0.25">
      <c r="A30" s="31"/>
      <c r="B30" s="14"/>
      <c r="C30" s="272" t="s">
        <v>427</v>
      </c>
      <c r="D30" s="7">
        <f>SUM(D31)</f>
        <v>20000</v>
      </c>
      <c r="E30" s="7">
        <f t="shared" ref="E30:J30" si="13">SUM(E31)</f>
        <v>0</v>
      </c>
      <c r="F30" s="7">
        <f t="shared" si="13"/>
        <v>20000</v>
      </c>
      <c r="G30" s="7">
        <f t="shared" si="13"/>
        <v>0</v>
      </c>
      <c r="H30" s="7">
        <f t="shared" si="13"/>
        <v>0</v>
      </c>
      <c r="I30" s="7">
        <f t="shared" si="13"/>
        <v>0</v>
      </c>
      <c r="J30" s="7">
        <f t="shared" si="13"/>
        <v>20000</v>
      </c>
    </row>
    <row r="31" spans="1:10" x14ac:dyDescent="0.25">
      <c r="A31" s="31"/>
      <c r="B31" s="9">
        <v>4</v>
      </c>
      <c r="C31" s="52" t="s">
        <v>15</v>
      </c>
      <c r="D31" s="16">
        <v>20000</v>
      </c>
      <c r="E31" s="16">
        <v>0</v>
      </c>
      <c r="F31" s="16">
        <f>SUM(D31:E31)</f>
        <v>20000</v>
      </c>
      <c r="G31" s="16">
        <v>0</v>
      </c>
      <c r="H31" s="16">
        <v>0</v>
      </c>
      <c r="I31" s="16">
        <f>SUM(G31:H31)</f>
        <v>0</v>
      </c>
      <c r="J31" s="16">
        <f>I31+F31</f>
        <v>20000</v>
      </c>
    </row>
  </sheetData>
  <mergeCells count="5">
    <mergeCell ref="A4:C4"/>
    <mergeCell ref="D4:F4"/>
    <mergeCell ref="G4:I4"/>
    <mergeCell ref="J4:J5"/>
    <mergeCell ref="A5:B5"/>
  </mergeCells>
  <pageMargins left="0.70866141732283472" right="0.70866141732283472" top="0.74803149606299213" bottom="0.74803149606299213" header="0.31496062992125984" footer="0.31496062992125984"/>
  <pageSetup paperSize="9" scale="87" firstPageNumber="18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4</vt:i4>
      </vt:variant>
    </vt:vector>
  </HeadingPairs>
  <TitlesOfParts>
    <vt:vector size="14" baseType="lpstr">
      <vt:lpstr>Lisa 1</vt:lpstr>
      <vt:lpstr>Lisa 2</vt:lpstr>
      <vt:lpstr>Lisa 3</vt:lpstr>
      <vt:lpstr>Lisa 4</vt:lpstr>
      <vt:lpstr>Lisa 5</vt:lpstr>
      <vt:lpstr>Lisa 6</vt:lpstr>
      <vt:lpstr>lisa 7</vt:lpstr>
      <vt:lpstr>lisa 8 </vt:lpstr>
      <vt:lpstr>Lisa 9</vt:lpstr>
      <vt:lpstr>Lisa 10</vt:lpstr>
      <vt:lpstr>'Lisa 1'!Prinditiitlid</vt:lpstr>
      <vt:lpstr>'Lisa 2'!Prinditiitlid</vt:lpstr>
      <vt:lpstr>'Lisa 3'!Prinditiitlid</vt:lpstr>
      <vt:lpstr>'Lisa 5'!Prinditiitlid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2018-12-17T14:15:45Z</cp:lastPrinted>
  <dcterms:created xsi:type="dcterms:W3CDTF">2017-12-19T09:17:21Z</dcterms:created>
  <dcterms:modified xsi:type="dcterms:W3CDTF">2018-12-21T08:45:35Z</dcterms:modified>
</cp:coreProperties>
</file>